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 - Vergabe\02 Projekte\2026\GR-071-SV-2026 Versicherungsleistungen\06 Vergabeunterlagen\Los 1_HuG\"/>
    </mc:Choice>
  </mc:AlternateContent>
  <xr:revisionPtr revIDLastSave="0" documentId="13_ncr:1_{7D1BDA1E-5305-43FC-A969-9D452A75D7EA}" xr6:coauthVersionLast="47" xr6:coauthVersionMax="47" xr10:uidLastSave="{00000000-0000-0000-0000-000000000000}"/>
  <bookViews>
    <workbookView xWindow="-108" yWindow="-108" windowWidth="41496" windowHeight="16776" xr2:uid="{E9A7730D-9C42-4133-B109-FCF4417665E0}"/>
  </bookViews>
  <sheets>
    <sheet name="Zusammenfassung " sheetId="1" r:id="rId1"/>
    <sheet name="2021" sheetId="2" r:id="rId2"/>
    <sheet name="2022" sheetId="3" r:id="rId3"/>
    <sheet name="2023" sheetId="4" r:id="rId4"/>
    <sheet name="2024" sheetId="5" r:id="rId5"/>
    <sheet name="2025" sheetId="6" r:id="rId6"/>
    <sheet name="2026" sheetId="7" r:id="rId7"/>
    <sheet name="VS-Daten" sheetId="8" r:id="rId8"/>
  </sheets>
  <externalReferences>
    <externalReference r:id="rId9"/>
  </externalReferences>
  <definedNames>
    <definedName name="ausdat">#REF!</definedName>
    <definedName name="BeginnDatum">#REF!</definedName>
    <definedName name="_xlnm.Print_Area" localSheetId="0">'Zusammenfassung '!$A$1:$M$17</definedName>
    <definedName name="EndeDatum">#REF!</definedName>
    <definedName name="Schadenzähler_LetzteZeile" localSheetId="0">OFFSET(#REF!,COUNTA(#REF!)-1,0,1,1)</definedName>
    <definedName name="Schadenzähler_LetzteZeile">OFFSET('VS-Daten'!#REF!,COUNTA('VS-Daten'!$M:$M)-1,0,1,1)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1" l="1"/>
  <c r="D7" i="1"/>
  <c r="E6" i="7"/>
  <c r="D6" i="7"/>
  <c r="C6" i="7"/>
  <c r="B6" i="7"/>
  <c r="E5" i="7"/>
  <c r="D5" i="7"/>
  <c r="C5" i="7"/>
  <c r="B5" i="7"/>
  <c r="E4" i="7"/>
  <c r="E7" i="7" s="1"/>
  <c r="D4" i="7"/>
  <c r="D7" i="7" s="1"/>
  <c r="C4" i="7"/>
  <c r="B4" i="7"/>
  <c r="B1" i="7"/>
  <c r="E6" i="6"/>
  <c r="D6" i="6"/>
  <c r="C6" i="6"/>
  <c r="B6" i="6"/>
  <c r="E5" i="6"/>
  <c r="D5" i="6"/>
  <c r="C5" i="6"/>
  <c r="B5" i="6"/>
  <c r="E4" i="6"/>
  <c r="E7" i="6" s="1"/>
  <c r="D4" i="6"/>
  <c r="C4" i="6"/>
  <c r="B4" i="6"/>
  <c r="B7" i="6" s="1"/>
  <c r="E6" i="5"/>
  <c r="D6" i="5"/>
  <c r="C6" i="5"/>
  <c r="B6" i="5"/>
  <c r="E5" i="5"/>
  <c r="D5" i="5"/>
  <c r="C5" i="5"/>
  <c r="B5" i="5"/>
  <c r="E4" i="5"/>
  <c r="D4" i="5"/>
  <c r="D7" i="5" s="1"/>
  <c r="C4" i="5"/>
  <c r="C7" i="5" s="1"/>
  <c r="B4" i="5"/>
  <c r="B7" i="5" s="1"/>
  <c r="E6" i="4"/>
  <c r="D6" i="4"/>
  <c r="C6" i="4"/>
  <c r="B6" i="4"/>
  <c r="E5" i="4"/>
  <c r="D5" i="4"/>
  <c r="C5" i="4"/>
  <c r="B5" i="4"/>
  <c r="E4" i="4"/>
  <c r="E7" i="4" s="1"/>
  <c r="D4" i="4"/>
  <c r="D7" i="4" s="1"/>
  <c r="C4" i="4"/>
  <c r="B4" i="4"/>
  <c r="E6" i="3"/>
  <c r="D6" i="3"/>
  <c r="C6" i="3"/>
  <c r="B6" i="3"/>
  <c r="E5" i="3"/>
  <c r="D5" i="3"/>
  <c r="C5" i="3"/>
  <c r="B5" i="3"/>
  <c r="E4" i="3"/>
  <c r="E7" i="3" s="1"/>
  <c r="D4" i="3"/>
  <c r="D7" i="3" s="1"/>
  <c r="C4" i="3"/>
  <c r="C7" i="3" s="1"/>
  <c r="B4" i="3"/>
  <c r="E6" i="2"/>
  <c r="D6" i="2"/>
  <c r="C6" i="2"/>
  <c r="B6" i="2"/>
  <c r="E5" i="2"/>
  <c r="D5" i="2"/>
  <c r="C5" i="2"/>
  <c r="B5" i="2"/>
  <c r="E4" i="2"/>
  <c r="D4" i="2"/>
  <c r="C4" i="2"/>
  <c r="C7" i="2" s="1"/>
  <c r="B4" i="2"/>
  <c r="B7" i="2" s="1"/>
  <c r="A18" i="1"/>
  <c r="F15" i="1"/>
  <c r="E15" i="1"/>
  <c r="D15" i="1"/>
  <c r="C15" i="1"/>
  <c r="B15" i="1"/>
  <c r="F14" i="1"/>
  <c r="E14" i="1"/>
  <c r="D14" i="1"/>
  <c r="C14" i="1"/>
  <c r="B14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C7" i="1"/>
  <c r="B7" i="1"/>
  <c r="B7" i="7" l="1"/>
  <c r="C7" i="7"/>
  <c r="D7" i="6"/>
  <c r="C7" i="6"/>
  <c r="E7" i="5"/>
  <c r="B7" i="4"/>
  <c r="C7" i="4"/>
  <c r="B7" i="3"/>
  <c r="D7" i="2"/>
  <c r="E7" i="2"/>
</calcChain>
</file>

<file path=xl/sharedStrings.xml><?xml version="1.0" encoding="utf-8"?>
<sst xmlns="http://schemas.openxmlformats.org/spreadsheetml/2006/main" count="1222" uniqueCount="470">
  <si>
    <t>Versicherungsnehmer:</t>
  </si>
  <si>
    <t>Aufwand</t>
  </si>
  <si>
    <t>Anzahl der Schäden</t>
  </si>
  <si>
    <t>Durchschnitt Schaden</t>
  </si>
  <si>
    <t>Anzahl der Einheiten</t>
  </si>
  <si>
    <t>Jahr</t>
  </si>
  <si>
    <t>exklusive Reserve</t>
  </si>
  <si>
    <t>inklusive Reserve</t>
  </si>
  <si>
    <t>2021</t>
  </si>
  <si>
    <t>2022</t>
  </si>
  <si>
    <t>2023</t>
  </si>
  <si>
    <t>2024</t>
  </si>
  <si>
    <t>2025</t>
  </si>
  <si>
    <t>2026 anteilig*</t>
  </si>
  <si>
    <t>Gesamt</t>
  </si>
  <si>
    <t>Durchschnitt (360 Tage)</t>
  </si>
  <si>
    <t>WIRO Wohnen in Rostock Wohnungsgesellschaft mbH</t>
  </si>
  <si>
    <t>Zeitraum:</t>
  </si>
  <si>
    <t>01.01.2021 - 31.12.2021</t>
  </si>
  <si>
    <t>Ursache</t>
  </si>
  <si>
    <t>Schadenzahlungen</t>
  </si>
  <si>
    <t>Schadenreserven</t>
  </si>
  <si>
    <t>Gesamtaufwand</t>
  </si>
  <si>
    <t>Anzahl</t>
  </si>
  <si>
    <t>SACH</t>
  </si>
  <si>
    <t>PERSONEN</t>
  </si>
  <si>
    <t>VERMÖGEN</t>
  </si>
  <si>
    <t>Ergebnis</t>
  </si>
  <si>
    <t>01.01.2022 - 31.12.2022</t>
  </si>
  <si>
    <t>01.01.2023 - 31.12.2023</t>
  </si>
  <si>
    <t>01.01.2024 - 31.12.2024</t>
  </si>
  <si>
    <t>01.01.2025 - 31.12.2025</t>
  </si>
  <si>
    <t>Vor dem Kopieren prüfen, ob in der Quelltabelle ein ungewünschter Filter gesetzt ist.</t>
  </si>
  <si>
    <t>Doppel- und Falschanlagen entfernen, siehe Codewörter</t>
  </si>
  <si>
    <t>Datum</t>
  </si>
  <si>
    <t>Erledigt</t>
  </si>
  <si>
    <t>Az. Kunde</t>
  </si>
  <si>
    <t>SB %</t>
  </si>
  <si>
    <t>SB</t>
  </si>
  <si>
    <t>SB err.</t>
  </si>
  <si>
    <t>Schaden-
reserve</t>
  </si>
  <si>
    <t>Schaden-
zahlung</t>
  </si>
  <si>
    <t>Summe
Aufwand</t>
  </si>
  <si>
    <t>Regreß</t>
  </si>
  <si>
    <t>Gesamt-
Schaden</t>
  </si>
  <si>
    <t>Kosten</t>
  </si>
  <si>
    <t>Schadenart</t>
  </si>
  <si>
    <t>Schl.Grund</t>
  </si>
  <si>
    <t>Schadentext</t>
  </si>
  <si>
    <t>Ort</t>
  </si>
  <si>
    <t>Schadenursache</t>
  </si>
  <si>
    <t>Interne Notiz</t>
  </si>
  <si>
    <t>Kunde</t>
  </si>
  <si>
    <t>???; Eggert</t>
  </si>
  <si>
    <t>vertragsgemäß reguliert</t>
  </si>
  <si>
    <t xml:space="preserve">Jacke an Fenster mit Lack beschmiert </t>
  </si>
  <si>
    <t>Mecklenburger Allee 11, 18109</t>
  </si>
  <si>
    <t>konventionell</t>
  </si>
  <si>
    <t/>
  </si>
  <si>
    <t>61002, Petra Loeck</t>
  </si>
  <si>
    <t>keine VN-Haftung</t>
  </si>
  <si>
    <t xml:space="preserve">Sturz bei Glätte  </t>
  </si>
  <si>
    <t>Röntgenstr. 20a, 18059 Rostock</t>
  </si>
  <si>
    <t>????; Pusch, Marcus</t>
  </si>
  <si>
    <t xml:space="preserve">PS4 + TV im Keller durch RB defekt </t>
  </si>
  <si>
    <t>Richard-Wagner-Str. 14, 18119</t>
  </si>
  <si>
    <t>Wasser-Rohrbruch</t>
  </si>
  <si>
    <t>Marnie Gahrig</t>
  </si>
  <si>
    <t xml:space="preserve">Heckscheibe durch Stein beim Rasen trimmen beschädigt </t>
  </si>
  <si>
    <t>Arno-Eschstr. 2a, 18055</t>
  </si>
  <si>
    <t>Bernd Holzbrecher</t>
  </si>
  <si>
    <t xml:space="preserve">Sturz an Bordsteinkante  </t>
  </si>
  <si>
    <t>Rigaer Str. 11, 18107 Rostock</t>
  </si>
  <si>
    <t>Christian Trahms</t>
  </si>
  <si>
    <t xml:space="preserve">Stoßstange Kfz bei Mähatbeiten beschädigt </t>
  </si>
  <si>
    <t>Steuerbordstr., 18147 Rostock</t>
  </si>
  <si>
    <t>Renate Wegner</t>
  </si>
  <si>
    <t xml:space="preserve">Sturz auf dem Weg, Personen + Sachschaden (Brille + Einkauf) </t>
  </si>
  <si>
    <t>Südring 56, 18059 Rostock</t>
  </si>
  <si>
    <t>Fam. Eckfeldt</t>
  </si>
  <si>
    <t xml:space="preserve">Möbel im Keller durch eindr. Regenwasser beschädigt </t>
  </si>
  <si>
    <t>Parkstr. 46k, 18119 Rostock</t>
  </si>
  <si>
    <t>Familie Emde</t>
  </si>
  <si>
    <t xml:space="preserve">Heckschreibe PKW bei Mäharb. beschädigt (HRO-EM 866) </t>
  </si>
  <si>
    <t>Arno-Esch-Str. 11, 18055</t>
  </si>
  <si>
    <t>Anja Stein</t>
  </si>
  <si>
    <t>durch Verwechslung Keller versehentl. geräumt und Inhalt entsorgt</t>
  </si>
  <si>
    <t>Zum Lebensbaum 21, 18147</t>
  </si>
  <si>
    <t>Karin Kalinke</t>
  </si>
  <si>
    <t xml:space="preserve">Sturz über Stahlplatte im Fahrradkeller </t>
  </si>
  <si>
    <t>Turkuner Str. 20, 18107 Rostoc</t>
  </si>
  <si>
    <t>Katrin Klusmann</t>
  </si>
  <si>
    <t xml:space="preserve">Beschädigung durch Nager im Fahrradkeller </t>
  </si>
  <si>
    <t>Brahmsstr. 46, 18069 Rostock</t>
  </si>
  <si>
    <t>Erik Wagner</t>
  </si>
  <si>
    <t xml:space="preserve">Kfz-Scheibe bei Mäharbeiten beschädigt </t>
  </si>
  <si>
    <t>Rigaer Str. 11, 18069 Rostock</t>
  </si>
  <si>
    <t>Schokoladerie Juillet</t>
  </si>
  <si>
    <t xml:space="preserve">Verpackungen durch LW-Schaden beschädigt </t>
  </si>
  <si>
    <t>Schmarl Dorf 13a, Rostock</t>
  </si>
  <si>
    <t>Büttner, Barbara</t>
  </si>
  <si>
    <t>Helsinkier Str. 89, 18107</t>
  </si>
  <si>
    <t>Mirko Kahle</t>
  </si>
  <si>
    <t xml:space="preserve">Möbel bei Starkregen durch undichte Fenster beschädigt </t>
  </si>
  <si>
    <t>Parkstr. 46m, 18119 Rostock</t>
  </si>
  <si>
    <t>Marion Köhler</t>
  </si>
  <si>
    <t xml:space="preserve">Sturz auf Treppe nach Regen  </t>
  </si>
  <si>
    <t>Neue Bleichstr. 8, 18055</t>
  </si>
  <si>
    <t>Benjamin-Lukas Bahner</t>
  </si>
  <si>
    <t xml:space="preserve">Hausratgegenstände durch LW beschädigt </t>
  </si>
  <si>
    <t>Ehm-Welk-Str. 11, 18106 Rostoc</t>
  </si>
  <si>
    <t>Anju Andezhath Mohanan</t>
  </si>
  <si>
    <t xml:space="preserve">Hausrat im Keller durch RB im 4. OG beschädigt, DLS </t>
  </si>
  <si>
    <t>Werner Görwitz</t>
  </si>
  <si>
    <t>keine Regulierung</t>
  </si>
  <si>
    <t xml:space="preserve">Verbrennungen durch Wasser aus Wasserhahn </t>
  </si>
  <si>
    <t>Kärntner Str. 34,18059 Rostock</t>
  </si>
  <si>
    <t>Peter Villwock</t>
  </si>
  <si>
    <t xml:space="preserve">Sturz über erhöhten Gulli  </t>
  </si>
  <si>
    <t>Lange Str. 25/26,18055 Rostock</t>
  </si>
  <si>
    <t>Jörg Kretlow</t>
  </si>
  <si>
    <t xml:space="preserve">Hausrat durch LW-Schaden beschädigt </t>
  </si>
  <si>
    <t>Arno-Esch-Str. 8, 18055Rostock</t>
  </si>
  <si>
    <t>Damaris Grün</t>
  </si>
  <si>
    <t>AST keine Ansprüche</t>
  </si>
  <si>
    <t xml:space="preserve">Sturz auf Fliesen vor Haustür trotz Streusand </t>
  </si>
  <si>
    <t>Reuterhäger Weg 3, 18069</t>
  </si>
  <si>
    <t>Jürgen Peters</t>
  </si>
  <si>
    <t xml:space="preserve">Schrankenarm auf KFZ gefallen (HRO-AJ 26) </t>
  </si>
  <si>
    <t>A.-Tischbein-Str. 11, 18109</t>
  </si>
  <si>
    <t>Fränze Puskeiler</t>
  </si>
  <si>
    <t xml:space="preserve">Schrankenarm auf KFZ gefallen (HRO-XL 921) </t>
  </si>
  <si>
    <t>Luisa Heimann</t>
  </si>
  <si>
    <t xml:space="preserve">KFZ durch herabfallende Dach- ziegel bei Sturm beschädigt </t>
  </si>
  <si>
    <t>Lüneburger Str. 6</t>
  </si>
  <si>
    <t>Ilse Langkabel</t>
  </si>
  <si>
    <t xml:space="preserve">Hausrat im Keller durch RB beschädigt </t>
  </si>
  <si>
    <t>Kurt-Tucholsky-Str. 37, 18059</t>
  </si>
  <si>
    <t>Dieter Ullerich</t>
  </si>
  <si>
    <t xml:space="preserve">KFZ durch Schranke beschädigt  </t>
  </si>
  <si>
    <t>Maxim-Gorki-Str. 58-65, 18106</t>
  </si>
  <si>
    <t>Karsta Holler-Krüger</t>
  </si>
  <si>
    <t xml:space="preserve">Sturz über schlecht erkennbare und unbeleutete Stufe </t>
  </si>
  <si>
    <t>Innsbrucker Str. 13, 18069</t>
  </si>
  <si>
    <t>Philipp Wisotzki</t>
  </si>
  <si>
    <t xml:space="preserve">Verletzung an 2 Fingern durch Nagel an Holzverleistung </t>
  </si>
  <si>
    <t>Paulstr. 33, 18055 Rostock</t>
  </si>
  <si>
    <t>Barbara Hörnig</t>
  </si>
  <si>
    <t xml:space="preserve">durch Wind stürzte ein Bauzaun  gegen einen PKW </t>
  </si>
  <si>
    <t>Möllner Str. (Neubau), Rostock</t>
  </si>
  <si>
    <t>Katrin Göritz</t>
  </si>
  <si>
    <t>aktiv</t>
  </si>
  <si>
    <t xml:space="preserve">Stromunfall  </t>
  </si>
  <si>
    <t>Richard-Wagner-Str. 45, 18119</t>
  </si>
  <si>
    <t>Marion Haut</t>
  </si>
  <si>
    <t xml:space="preserve">Treppen heruntergestürzt wg. fehlender Beleuchtung </t>
  </si>
  <si>
    <t>Kurt-Schumacher-Ring 137,18146</t>
  </si>
  <si>
    <t>Monika Martin</t>
  </si>
  <si>
    <t>technisch erledigt</t>
  </si>
  <si>
    <t>Wohnzimmertische durch herab- fallenden Heizkörper beschädigt</t>
  </si>
  <si>
    <t>T.-Müntzer-Platz 20, 18057</t>
  </si>
  <si>
    <t>V.+A. Ovcar</t>
  </si>
  <si>
    <t xml:space="preserve">Schlafzimmerschrank durch def. Heizkörperventil durchflutet </t>
  </si>
  <si>
    <t>M.-L.-King Allee 3, 18147</t>
  </si>
  <si>
    <t>Lange / Schünemann</t>
  </si>
  <si>
    <t xml:space="preserve">Schimmelbefall i.d. Küche hinter dem Schrank </t>
  </si>
  <si>
    <t>Lange Str. 1, 18055 Rostock</t>
  </si>
  <si>
    <t>Papajewski</t>
  </si>
  <si>
    <t xml:space="preserve">Handy durch zersprungene Scheibe zerstört </t>
  </si>
  <si>
    <t>Schleswiger Str. 4, 18109</t>
  </si>
  <si>
    <t>Bruzi</t>
  </si>
  <si>
    <t>Auspuffanlage KFZ beim befahren des Parkplatzes abgerissen</t>
  </si>
  <si>
    <t>Händelstr. 32, 18069 Rostock</t>
  </si>
  <si>
    <t>Helga Peteley</t>
  </si>
  <si>
    <t xml:space="preserve">Sturz im Treppenhaus  </t>
  </si>
  <si>
    <t>Fr.-Silcher-Str. 15, 18069</t>
  </si>
  <si>
    <t>Toni Bahlhorn</t>
  </si>
  <si>
    <t>Kfz durch explodierte Gasflaschen siehe auch: C2 935787</t>
  </si>
  <si>
    <t>St. Petersburger Str. 43,18107</t>
  </si>
  <si>
    <t>Mario Lang</t>
  </si>
  <si>
    <t xml:space="preserve">Sturz auf Kellertreppe  </t>
  </si>
  <si>
    <t>Kuphalstr. 67d, 18069 Rostock</t>
  </si>
  <si>
    <t>Marlies Schiebs</t>
  </si>
  <si>
    <t xml:space="preserve">Globusbar + TV-Schrank durch gelöste Balkontür beschädigt </t>
  </si>
  <si>
    <t>Henrik-Ibsen-Str. 2, 18106</t>
  </si>
  <si>
    <t>Taxi-Ruf Rostock</t>
  </si>
  <si>
    <t xml:space="preserve">Motorschaden Kfz durch Pfütze auf Parkdeck </t>
  </si>
  <si>
    <t>Parkplatz "Am Stadthafen"</t>
  </si>
  <si>
    <t>Frachttaxi</t>
  </si>
  <si>
    <t>LKW durch explodierte Gasflaschen weitere: C2 935786 C2 935787</t>
  </si>
  <si>
    <t>Karsten Thöne</t>
  </si>
  <si>
    <t>LW-S und damit verbundene Ko- sten für Mieter + Mehraufwand Gebäude unter C2 934416</t>
  </si>
  <si>
    <t>Bremer Str. 29, 18057 Rostock</t>
  </si>
  <si>
    <t>Jens Kruse</t>
  </si>
  <si>
    <t>Sturz bei Glatteis  18147 Rostock</t>
  </si>
  <si>
    <t>Martin-Luther-King-Allee 7</t>
  </si>
  <si>
    <t>Klaus Johannßon</t>
  </si>
  <si>
    <t xml:space="preserve">Oberarmfraktur nach Sturz im Laub </t>
  </si>
  <si>
    <t>Hafenbahnweg 23, 18147 Rostock</t>
  </si>
  <si>
    <t>Familie Beck</t>
  </si>
  <si>
    <t xml:space="preserve">Schaden an Hausrat durch Schimmelbefall + Strom + Mimi </t>
  </si>
  <si>
    <t>Schillerstr. 10e, 18119 Rost.</t>
  </si>
  <si>
    <t>Arne Schulz</t>
  </si>
  <si>
    <t xml:space="preserve">Sturz i.F. von Glätte  </t>
  </si>
  <si>
    <t>Paschenstr. 9, 18057 Rostock</t>
  </si>
  <si>
    <t>Michael-Olaf Belger</t>
  </si>
  <si>
    <t xml:space="preserve">Wohnung nach Lw-Schaden unbew.  </t>
  </si>
  <si>
    <t>Majakowskistr. 24, 18059 Rost.</t>
  </si>
  <si>
    <t>Gerüstbau Treichel</t>
  </si>
  <si>
    <t xml:space="preserve">Gerüste durch explodierte Gasflaschen beschädigt </t>
  </si>
  <si>
    <t>Rolf Ribbe</t>
  </si>
  <si>
    <t>Risiko nicht versichert</t>
  </si>
  <si>
    <t xml:space="preserve">Sturz bei Glatteis  </t>
  </si>
  <si>
    <t>Vitus-Bering-Str. 32, 18106</t>
  </si>
  <si>
    <t>Christopher Schob</t>
  </si>
  <si>
    <t xml:space="preserve">Fahrradbox bei Sturm gegen das Auto geschleudert </t>
  </si>
  <si>
    <t>August-Bebel-Str. 36, 18055</t>
  </si>
  <si>
    <t>Ingrid Weidemann</t>
  </si>
  <si>
    <t xml:space="preserve">Sturz im Keller durch fehl. Beleuchtung </t>
  </si>
  <si>
    <t>Ahlbecker Str. 2, 18107 R.</t>
  </si>
  <si>
    <t>Jessica Tix</t>
  </si>
  <si>
    <t xml:space="preserve">Anspruch HUK (Hausrat) nach LW-Schaden </t>
  </si>
  <si>
    <t>Fridtjof-Nansen-Str. 4, 18106</t>
  </si>
  <si>
    <t>Ines Normann</t>
  </si>
  <si>
    <t xml:space="preserve">Sturz auf Treppe wegen def. Stufenblech </t>
  </si>
  <si>
    <t>Ulrich-von-Huttenstr. 8, 18069</t>
  </si>
  <si>
    <t>Nils Zöllig</t>
  </si>
  <si>
    <t xml:space="preserve">Durch Sturm ist ein Baum auf PKW des Ast gestürzt </t>
  </si>
  <si>
    <t>Bremer Str. 28, 18057 Rostock</t>
  </si>
  <si>
    <t>Maik Albrecht</t>
  </si>
  <si>
    <t>Sturz über beschädigte Treppen stufe vorher über C3 930795</t>
  </si>
  <si>
    <t>Tschaikowskistr. 13, 18069</t>
  </si>
  <si>
    <t>Maria Schröter</t>
  </si>
  <si>
    <t xml:space="preserve">Sturz über kaputten Pflaster- stein </t>
  </si>
  <si>
    <t>M.-Niemöller-Str. 20, 18147</t>
  </si>
  <si>
    <t>Melanie Grigull</t>
  </si>
  <si>
    <t xml:space="preserve">Ellenbogenverl. nach hängen bleiben an der Treppe </t>
  </si>
  <si>
    <t>Nordahl-Grieg-Str. 6, 18106</t>
  </si>
  <si>
    <t>Celine Klostermann</t>
  </si>
  <si>
    <t xml:space="preserve">Schminktisch durch herausfall. Schlafzimmertür beschädigt </t>
  </si>
  <si>
    <t>Auf der Huder 3, 18055 Rostock</t>
  </si>
  <si>
    <t>Gisela Ahlgrimm</t>
  </si>
  <si>
    <t xml:space="preserve">Hose durch Harz auf Bank beschädigt </t>
  </si>
  <si>
    <t>Johann-Seb.-Bach-Str. 3, 18119</t>
  </si>
  <si>
    <t>Matteo Emil Barth</t>
  </si>
  <si>
    <t xml:space="preserve">Verletzung an def. Steckdose i.d. Wohnung </t>
  </si>
  <si>
    <t>Usedomer Str. 42, 18107 Rost.</t>
  </si>
  <si>
    <t>Michaela Zillmann</t>
  </si>
  <si>
    <t xml:space="preserve">WWVentil in Whg defekt, Whg durchfeuchtet </t>
  </si>
  <si>
    <t>Aleksis-Kivi-Str. 16, 18106 Ro</t>
  </si>
  <si>
    <t>Robert Neumann</t>
  </si>
  <si>
    <t>Ast rutschte auf öliger Flüssi gkeit auf Treppe aus uns verle tzte sich</t>
  </si>
  <si>
    <t>Willi-Bredel-Str. 19, 18106 R</t>
  </si>
  <si>
    <t>Helmut Bohner</t>
  </si>
  <si>
    <t xml:space="preserve">Bordstein abnormal hoch,dadurc h FZ beschädigt </t>
  </si>
  <si>
    <t>Parkplatz, Am Bahnof, 18119 Ro</t>
  </si>
  <si>
    <t>Edelgrad Schröder</t>
  </si>
  <si>
    <t xml:space="preserve">Sturz über eine Stufe  </t>
  </si>
  <si>
    <t>Universitätsplatz 7-10, 18055</t>
  </si>
  <si>
    <t>Bärbel Prestien</t>
  </si>
  <si>
    <t xml:space="preserve">Deko im Keller durch Verst. beschädigt </t>
  </si>
  <si>
    <t>Streuwiesenweg 58, 18119</t>
  </si>
  <si>
    <t>Eduard Neufeld</t>
  </si>
  <si>
    <t xml:space="preserve">Schaden am Kfz durch umgestür. Baum bei Sturm </t>
  </si>
  <si>
    <t>Eduard Vilde Str. 4, 18106</t>
  </si>
  <si>
    <t>Asenov</t>
  </si>
  <si>
    <t xml:space="preserve">Schaden am Hausrat nach Verst. im Bad </t>
  </si>
  <si>
    <t>Lagerlöfstr. 5, 18106 Rostock</t>
  </si>
  <si>
    <t>Heinze</t>
  </si>
  <si>
    <t xml:space="preserve">Schaden am Hausrat nach Rückstau </t>
  </si>
  <si>
    <t>Mozartstr. 43, 18069 Rostock</t>
  </si>
  <si>
    <t>Müller / Siegmund</t>
  </si>
  <si>
    <t xml:space="preserve">Schaden an Küche nach Undicht. Dach </t>
  </si>
  <si>
    <t>Kopernikusstr. 5, 18057 Rostoc</t>
  </si>
  <si>
    <t>Müller</t>
  </si>
  <si>
    <t xml:space="preserve">Schaden am Kfz durch herabfal. Beton i.d. Tiefgarage </t>
  </si>
  <si>
    <t>Pappelallee 2, 18147 Rostock</t>
  </si>
  <si>
    <t>Terne</t>
  </si>
  <si>
    <t xml:space="preserve">Schaden am Kfz durch Garagen- Rolltor </t>
  </si>
  <si>
    <t>Kopernikusstr. 16, 18057</t>
  </si>
  <si>
    <t>Gisela Ahrens</t>
  </si>
  <si>
    <t>Schimmelbefall i.d. Whg. durch Baumangel - Buffet + Tisch beschädigt</t>
  </si>
  <si>
    <t>Kirchnerstr. 1, 18119 Rostock</t>
  </si>
  <si>
    <t>Hannelore Gildehorn</t>
  </si>
  <si>
    <t xml:space="preserve">PKW durch Müllplatztor bei Sturm beschädigt </t>
  </si>
  <si>
    <t>Danziger Str. 30, 18107</t>
  </si>
  <si>
    <t>Benjamin Schwarz</t>
  </si>
  <si>
    <t xml:space="preserve">Jacke an Türzarge beschädigt  </t>
  </si>
  <si>
    <t>Gerüstbauerring 2, 18109</t>
  </si>
  <si>
    <t>Regina Kofahl</t>
  </si>
  <si>
    <t xml:space="preserve">Sturz bei Schnne- und Eisglätt e </t>
  </si>
  <si>
    <t>Sternberger Str.11, Rostock</t>
  </si>
  <si>
    <t>Glatteis</t>
  </si>
  <si>
    <t>Andreas Kaeming</t>
  </si>
  <si>
    <t xml:space="preserve">Hausrat durch LW-Schaden im Keller beschädigt </t>
  </si>
  <si>
    <t>Sebastian-Bach-Str. 16, 18069</t>
  </si>
  <si>
    <t>Heidrun Stark</t>
  </si>
  <si>
    <t xml:space="preserve">Sturz auf Eisfläche  </t>
  </si>
  <si>
    <t>Osloer Str. 42, 18107</t>
  </si>
  <si>
    <t>64002; Sara Schuldt</t>
  </si>
  <si>
    <t xml:space="preserve">Schimmelbefall an Außenwand in mehreren Zimmern </t>
  </si>
  <si>
    <t>K.-Schumacher-Ring 142, 18146</t>
  </si>
  <si>
    <t>Joachim Regling</t>
  </si>
  <si>
    <t xml:space="preserve">Kfz dursch Schranke am Park- platz beschädigt </t>
  </si>
  <si>
    <t>Rigaer Str., Rostock</t>
  </si>
  <si>
    <t>Gerda Heitmann</t>
  </si>
  <si>
    <t>Aleksis-Kivi-Str. 7, Rostock</t>
  </si>
  <si>
    <t>Fam. Harms</t>
  </si>
  <si>
    <t xml:space="preserve">Fernseher durch def. Steck- dosenring defekt </t>
  </si>
  <si>
    <t>Platz d. Freundschaft 14,18059</t>
  </si>
  <si>
    <t>Navas Flores</t>
  </si>
  <si>
    <t xml:space="preserve">Polsterbett durch Schimmel beschädigt </t>
  </si>
  <si>
    <t>Innsbrucker Str. 20, 18069</t>
  </si>
  <si>
    <t>York Uwe Siggelkow</t>
  </si>
  <si>
    <t xml:space="preserve">Glätteunfall  </t>
  </si>
  <si>
    <t>Warnowallee / St.P.-Str.,18107</t>
  </si>
  <si>
    <t>Reinhard-Wilhelm Schulze</t>
  </si>
  <si>
    <t xml:space="preserve">Schienbein durch Automatiktür eingeklemmt </t>
  </si>
  <si>
    <t>Ahlbecker Str. 8, 18107</t>
  </si>
  <si>
    <t xml:space="preserve">Möbel durch Schimmelbefall besch. </t>
  </si>
  <si>
    <t>Kirchnerstr. 1, 18119</t>
  </si>
  <si>
    <t>Gisela Nell</t>
  </si>
  <si>
    <t xml:space="preserve">Sturz auf dem Gehweg  </t>
  </si>
  <si>
    <t>Gerüstbauerring 30, 18109</t>
  </si>
  <si>
    <t>Lisa Rading</t>
  </si>
  <si>
    <t xml:space="preserve">AS verl. durch herabfallenden Deckenputz </t>
  </si>
  <si>
    <t>Tschaikowskistr. 5, 18069</t>
  </si>
  <si>
    <t>Barbara Wellna</t>
  </si>
  <si>
    <t>Vitus-Behring-Str. 23, Rostock</t>
  </si>
  <si>
    <t>Sarah Brüdigam</t>
  </si>
  <si>
    <t>Kuphalstr. 22, 18069 Rostock</t>
  </si>
  <si>
    <t>Inge Schwarz</t>
  </si>
  <si>
    <t xml:space="preserve">Herabfallendes Taubengitter traf Kopf der Geschädigten </t>
  </si>
  <si>
    <t>Universitätsplatz 7, 18055</t>
  </si>
  <si>
    <t>Wilfried Rachow</t>
  </si>
  <si>
    <t xml:space="preserve">KFZ durch Stein beschädigt  </t>
  </si>
  <si>
    <t>Schillerstr. 10d, Warnemünde</t>
  </si>
  <si>
    <t>Daniel Giertz</t>
  </si>
  <si>
    <t>Osloer Str. 28, Rostock</t>
  </si>
  <si>
    <t>Schröder</t>
  </si>
  <si>
    <t xml:space="preserve">Sturz auf Treppe  </t>
  </si>
  <si>
    <t>Ostseeallee 27, 18107 Rostock</t>
  </si>
  <si>
    <t>Scharrenweber</t>
  </si>
  <si>
    <t xml:space="preserve">Sturz auf schadhaftem Gehweg  </t>
  </si>
  <si>
    <t>Majakowskistr. 51, Rostock</t>
  </si>
  <si>
    <t>Diederichs</t>
  </si>
  <si>
    <t xml:space="preserve">Sturz vor nicht geräumter Haustür </t>
  </si>
  <si>
    <t>John-Schehr-Str. 8, 18069</t>
  </si>
  <si>
    <t>Bernd Kuhardt</t>
  </si>
  <si>
    <t xml:space="preserve">Stoßfänger am PKW beschädigt  </t>
  </si>
  <si>
    <t>Parkplatz Mittelmole, Warnem.</t>
  </si>
  <si>
    <t>Lisa Kühn</t>
  </si>
  <si>
    <t xml:space="preserve">Jacke bei Whg.-Besi verdreckt  </t>
  </si>
  <si>
    <t>Schulweg 25, 18107 Berlin</t>
  </si>
  <si>
    <t>Aenna Schult</t>
  </si>
  <si>
    <t xml:space="preserve">Stehlampe bei Montagearbeiten beschädigt </t>
  </si>
  <si>
    <t>Lastadie 3, 18055 Rostock</t>
  </si>
  <si>
    <t>Brigitte Voigt</t>
  </si>
  <si>
    <t xml:space="preserve">Sturz wegen Laub- und Müll- ansammlung </t>
  </si>
  <si>
    <t>Kuhstr. 1, 18055 Rostock</t>
  </si>
  <si>
    <t>Hans-Joachim Keilholz</t>
  </si>
  <si>
    <t xml:space="preserve">Kunde stürzte im Flur auf feuchtem Boden </t>
  </si>
  <si>
    <t>Warnowallee 10, 18107 Rostock</t>
  </si>
  <si>
    <t>2441</t>
  </si>
  <si>
    <t>Schriever</t>
  </si>
  <si>
    <t xml:space="preserve">Unfall auf Baustelle  </t>
  </si>
  <si>
    <t>Pappelallee 4, Rostock</t>
  </si>
  <si>
    <t>Berz</t>
  </si>
  <si>
    <t xml:space="preserve">Teppichboden beschädigt durch undichtes Fenster </t>
  </si>
  <si>
    <t>Urho-Kekkonen-Str. 6, 18147</t>
  </si>
  <si>
    <t>Hagen Pasche</t>
  </si>
  <si>
    <t xml:space="preserve">Elektrogeräte durch def. Sicherungen beschädigt </t>
  </si>
  <si>
    <t>W.-Seelenbinder-Str. 41, 18069</t>
  </si>
  <si>
    <t>Uwe Hofmann</t>
  </si>
  <si>
    <t xml:space="preserve">Meldung dirrkt an VR von TK, Sturz über Pflasterstein </t>
  </si>
  <si>
    <t>unbekannt</t>
  </si>
  <si>
    <t>Anne Kietz</t>
  </si>
  <si>
    <t xml:space="preserve">Sturz auf gereinigter Treppe  </t>
  </si>
  <si>
    <t>Sassnitzer Str. 27, 17107</t>
  </si>
  <si>
    <t>Dagmar Finnern</t>
  </si>
  <si>
    <t xml:space="preserve">Sturz auf Gehweg wegen hohen Pflastersteinen durch Wurzeln </t>
  </si>
  <si>
    <t>Hermann-Flach-Str. 43, 18109</t>
  </si>
  <si>
    <t>Kutsche, Karin</t>
  </si>
  <si>
    <t xml:space="preserve">ASt stürzte auf unebenem Gehweg und verletzte sich </t>
  </si>
  <si>
    <t>J.-Nehru-Str. 25, 18147</t>
  </si>
  <si>
    <t>Masuch-Reitz</t>
  </si>
  <si>
    <t xml:space="preserve">Person + Fahrrad durch zufallendes Garagentor </t>
  </si>
  <si>
    <t>Anton-Saefkow-Str. 1-2, 18069</t>
  </si>
  <si>
    <t>65008</t>
  </si>
  <si>
    <t>Gesch. rutschte von einer Treppe, da das Material glatt ist</t>
  </si>
  <si>
    <t>Clara-Zetkin-Str. 4, 18069</t>
  </si>
  <si>
    <t>65009</t>
  </si>
  <si>
    <t xml:space="preserve">Gesch verletzt sich aufgrund Glatteis </t>
  </si>
  <si>
    <t>Blockmacherring 25, 18109</t>
  </si>
  <si>
    <t>Wohlleben</t>
  </si>
  <si>
    <t xml:space="preserve">Pfahl Verkehrsschild brach ab und fiel auf Auto der ASt </t>
  </si>
  <si>
    <t>Am Bahnhof, 18119 Rostock</t>
  </si>
  <si>
    <t>Godemann</t>
  </si>
  <si>
    <t xml:space="preserve">Sturz im Treppenhaus wegen Tapetenkleister </t>
  </si>
  <si>
    <t>Kölner Str. 5, 18057 Rostock</t>
  </si>
  <si>
    <t>Lingner / Schaal</t>
  </si>
  <si>
    <t>Fahrzeugdach durch zu niedrig angegebene Einfahrtshöhe beschädigt</t>
  </si>
  <si>
    <t>Valery Karsten</t>
  </si>
  <si>
    <t xml:space="preserve">Hausrat durch undichten Balkon beschädigt </t>
  </si>
  <si>
    <t>M.-Niemöller-Str. 40, Rostock</t>
  </si>
  <si>
    <t>Klaus Peter Ott</t>
  </si>
  <si>
    <t xml:space="preserve">Kfz durch techn. Defekt der Parkhaus-Schranke beschädigt </t>
  </si>
  <si>
    <t>August-Bebel-Str. 88, 18055</t>
  </si>
  <si>
    <t>TAG</t>
  </si>
  <si>
    <t xml:space="preserve">Rechnung irrtümlich bezahlt  </t>
  </si>
  <si>
    <t>Carl-von-Linne-Str. 9, 18106</t>
  </si>
  <si>
    <t>Cindy Müller</t>
  </si>
  <si>
    <t xml:space="preserve">Kfz durch zersprungene Balkonverglasung beschädigt </t>
  </si>
  <si>
    <t>H.-Tessenow-Str. 43, 18146</t>
  </si>
  <si>
    <t xml:space="preserve">AS durch abgefallenem Heizk. verletzt </t>
  </si>
  <si>
    <t>Boualem Djemai</t>
  </si>
  <si>
    <t xml:space="preserve">Einbauküche durch schadhafte Eckventile beschädigt </t>
  </si>
  <si>
    <t>Ostseeallee 21, 18107 Rostock</t>
  </si>
  <si>
    <t>Maria Hölbe</t>
  </si>
  <si>
    <t xml:space="preserve">LW-Schaden i.d. Wohnung durch def. Küchenspülamatur </t>
  </si>
  <si>
    <t>Kopernikusstr. 12, 18057</t>
  </si>
  <si>
    <t>Daniel Grunwald</t>
  </si>
  <si>
    <t xml:space="preserve">Sturz bei Glatteis, Knie aufgeschlagen </t>
  </si>
  <si>
    <t>Willem-Barents-Str. 9, 18106</t>
  </si>
  <si>
    <t>Gabriele Flagel</t>
  </si>
  <si>
    <t xml:space="preserve">Treppensturz, Kopfverletzung &amp; Behandlung im KH </t>
  </si>
  <si>
    <t>Maxim-Gorki-Str. 16, 18106</t>
  </si>
  <si>
    <t>Sebastian Lindner</t>
  </si>
  <si>
    <t xml:space="preserve">Sturz bei Glatteis auf dem Gehweg </t>
  </si>
  <si>
    <t>Kolumbusring 52, 18106</t>
  </si>
  <si>
    <t>Rita Fütterer</t>
  </si>
  <si>
    <t>Geschädigte ist während Reha- Sport vor Schwimmbecken aus- gerutscht</t>
  </si>
  <si>
    <t>Knud-Rasmussen-Str. 9, 18106</t>
  </si>
  <si>
    <t>Manuela Jürges</t>
  </si>
  <si>
    <t xml:space="preserve">Sturz bei Glatteis, Verletzung mit OP an der Hand </t>
  </si>
  <si>
    <t>Bremer Str. 14, 18057 Rostock</t>
  </si>
  <si>
    <t>Thorben Ansorge</t>
  </si>
  <si>
    <t xml:space="preserve">Jacke durch def. Türgriff beschädigt </t>
  </si>
  <si>
    <t>Parchimer Str. 8, 18109</t>
  </si>
  <si>
    <t>Lisius, Torsten</t>
  </si>
  <si>
    <t>Abw-Rohr geplatzt innerhalb Gewährleistung, Eigentum des Mieters beschädigt</t>
  </si>
  <si>
    <t>Pappelallee 7, 18147 Rostock</t>
  </si>
  <si>
    <t>Rico Braun</t>
  </si>
  <si>
    <t xml:space="preserve">Verbrennungen bei Austausch def. Eckventil </t>
  </si>
  <si>
    <t>Lange Str. 6, 18055 Rostock</t>
  </si>
  <si>
    <t>Dana Bohm</t>
  </si>
  <si>
    <t>Dornblüthstr. 2, 18057</t>
  </si>
  <si>
    <t>Christian Thon</t>
  </si>
  <si>
    <t xml:space="preserve">Sturz bei Glatteis Hinterhof  </t>
  </si>
  <si>
    <t>A.-Kivi-Str. 13/14, 18106 Rost</t>
  </si>
  <si>
    <t>Thomaneck, Anne-Catrin</t>
  </si>
  <si>
    <t xml:space="preserve">Auto beschädigt durch wasser- schaden Garage </t>
  </si>
  <si>
    <t>Pappelallee  , 18147 Rostock</t>
  </si>
  <si>
    <t>Elisabeth Hecke</t>
  </si>
  <si>
    <t xml:space="preserve">Glatteis-Sturz  </t>
  </si>
  <si>
    <t>Warnowallee 10, Rostock</t>
  </si>
  <si>
    <t>Silke Nötzel</t>
  </si>
  <si>
    <t xml:space="preserve">Lackschaden am Auto durch tropfende Decke Tiefgarage </t>
  </si>
  <si>
    <t>Natalia Hvozd</t>
  </si>
  <si>
    <t xml:space="preserve">Sturz bei Schneeglätte  </t>
  </si>
  <si>
    <t>Kopernikusstr. 16, 18055</t>
  </si>
  <si>
    <t>Christel Möller</t>
  </si>
  <si>
    <t xml:space="preserve">Schimmelbildung am Bett  </t>
  </si>
  <si>
    <t>Kirchnerstraße 12, 18119</t>
  </si>
  <si>
    <t>Wilfried Strecke</t>
  </si>
  <si>
    <t xml:space="preserve">beschädigter Hausrat nach LW Schaden </t>
  </si>
  <si>
    <t>Aleksis-Kivi-Straße 12, 18106</t>
  </si>
  <si>
    <t>Überschwemmungen</t>
  </si>
  <si>
    <t>Claudia Wilms</t>
  </si>
  <si>
    <t>Platz der Freiheit 6, Rostock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</si>
</sst>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\ &quot;€&quot;"/>
    <numFmt numFmtId="165" formatCode="&quot;*Datenstand: &quot;dd/mm/yyyy"/>
    <numFmt numFmtId="166" formatCode="#,##0.00;\-#,##0.00;"/>
    <numFmt numFmtId="167" formatCode="#,##0;\-#,##0;"/>
    <numFmt numFmtId="168" formatCode="[$-10407]dd\.mm\.yyyy"/>
    <numFmt numFmtId="169" formatCode="[$-10407]#,##0.00;\(#,##0.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81">
    <xf numFmtId="0" fontId="0" fillId="0" borderId="0" xfId="0"/>
    <xf numFmtId="0" fontId="3" fillId="0" borderId="0" xfId="1" applyFont="1" applyProtection="1"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49" fontId="4" fillId="0" borderId="3" xfId="0" applyNumberFormat="1" applyFont="1" applyBorder="1" applyProtection="1">
      <protection locked="0"/>
    </xf>
    <xf numFmtId="164" fontId="6" fillId="0" borderId="7" xfId="0" applyNumberFormat="1" applyFont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/>
      <protection locked="0"/>
    </xf>
    <xf numFmtId="0" fontId="6" fillId="0" borderId="7" xfId="0" applyFont="1" applyBorder="1" applyAlignment="1" applyProtection="1">
      <alignment horizontal="center"/>
      <protection locked="0"/>
    </xf>
    <xf numFmtId="164" fontId="3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center"/>
      <protection locked="0"/>
    </xf>
    <xf numFmtId="49" fontId="4" fillId="0" borderId="6" xfId="0" applyNumberFormat="1" applyFont="1" applyBorder="1" applyProtection="1">
      <protection locked="0"/>
    </xf>
    <xf numFmtId="164" fontId="6" fillId="0" borderId="0" xfId="0" applyNumberFormat="1" applyFont="1" applyAlignment="1" applyProtection="1">
      <alignment horizontal="right"/>
      <protection locked="0"/>
    </xf>
    <xf numFmtId="164" fontId="6" fillId="0" borderId="6" xfId="0" applyNumberFormat="1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164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49" fontId="4" fillId="0" borderId="8" xfId="0" applyNumberFormat="1" applyFont="1" applyBorder="1" applyProtection="1">
      <protection locked="0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6" fillId="0" borderId="8" xfId="0" applyNumberFormat="1" applyFont="1" applyBorder="1" applyAlignment="1" applyProtection="1">
      <alignment horizontal="right"/>
      <protection locked="0"/>
    </xf>
    <xf numFmtId="0" fontId="6" fillId="0" borderId="9" xfId="0" applyFont="1" applyBorder="1" applyAlignment="1" applyProtection="1">
      <alignment horizontal="center"/>
      <protection locked="0"/>
    </xf>
    <xf numFmtId="164" fontId="3" fillId="0" borderId="8" xfId="0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left"/>
      <protection locked="0"/>
    </xf>
    <xf numFmtId="164" fontId="3" fillId="0" borderId="3" xfId="1" applyNumberFormat="1" applyFont="1" applyBorder="1" applyAlignment="1" applyProtection="1">
      <alignment horizontal="right"/>
      <protection locked="0"/>
    </xf>
    <xf numFmtId="0" fontId="3" fillId="0" borderId="3" xfId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4" fillId="0" borderId="10" xfId="1" applyFont="1" applyBorder="1" applyAlignment="1" applyProtection="1">
      <alignment horizontal="left"/>
      <protection locked="0"/>
    </xf>
    <xf numFmtId="164" fontId="3" fillId="0" borderId="8" xfId="1" applyNumberFormat="1" applyFont="1" applyBorder="1" applyAlignment="1" applyProtection="1">
      <alignment horizontal="right"/>
      <protection locked="0"/>
    </xf>
    <xf numFmtId="1" fontId="3" fillId="0" borderId="8" xfId="1" applyNumberFormat="1" applyFont="1" applyBorder="1" applyAlignment="1" applyProtection="1">
      <alignment horizontal="center"/>
      <protection locked="0"/>
    </xf>
    <xf numFmtId="164" fontId="3" fillId="0" borderId="10" xfId="0" applyNumberFormat="1" applyFont="1" applyBorder="1" applyAlignment="1" applyProtection="1">
      <alignment horizontal="right"/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/>
    <xf numFmtId="14" fontId="0" fillId="0" borderId="0" xfId="0" applyNumberFormat="1"/>
    <xf numFmtId="0" fontId="3" fillId="0" borderId="0" xfId="1" applyFo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/>
    <xf numFmtId="0" fontId="7" fillId="2" borderId="0" xfId="0" applyFont="1" applyFill="1" applyAlignment="1">
      <alignment horizontal="centerContinuous" vertical="center"/>
    </xf>
    <xf numFmtId="166" fontId="7" fillId="2" borderId="0" xfId="0" applyNumberFormat="1" applyFont="1" applyFill="1" applyAlignment="1">
      <alignment horizontal="centerContinuous" vertical="center"/>
    </xf>
    <xf numFmtId="167" fontId="7" fillId="2" borderId="0" xfId="0" applyNumberFormat="1" applyFont="1" applyFill="1" applyAlignment="1">
      <alignment horizontal="centerContinuous" vertical="center"/>
    </xf>
    <xf numFmtId="164" fontId="7" fillId="2" borderId="0" xfId="0" applyNumberFormat="1" applyFont="1" applyFill="1" applyAlignment="1">
      <alignment horizontal="centerContinuous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Continuous" vertical="center"/>
    </xf>
    <xf numFmtId="167" fontId="8" fillId="2" borderId="0" xfId="0" applyNumberFormat="1" applyFont="1" applyFill="1" applyAlignment="1">
      <alignment horizontal="centerContinuous" vertical="center"/>
    </xf>
    <xf numFmtId="164" fontId="8" fillId="2" borderId="0" xfId="0" applyNumberFormat="1" applyFont="1" applyFill="1" applyAlignment="1">
      <alignment horizontal="centerContinuous" vertical="center"/>
    </xf>
    <xf numFmtId="166" fontId="8" fillId="2" borderId="0" xfId="0" applyNumberFormat="1" applyFont="1" applyFill="1" applyAlignment="1">
      <alignment horizontal="centerContinuous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Continuous" vertical="center"/>
    </xf>
    <xf numFmtId="167" fontId="6" fillId="2" borderId="0" xfId="0" applyNumberFormat="1" applyFont="1" applyFill="1" applyAlignment="1">
      <alignment horizontal="centerContinuous" vertical="center"/>
    </xf>
    <xf numFmtId="164" fontId="6" fillId="2" borderId="0" xfId="0" applyNumberFormat="1" applyFont="1" applyFill="1" applyAlignment="1">
      <alignment horizontal="centerContinuous" vertical="center"/>
    </xf>
    <xf numFmtId="166" fontId="6" fillId="2" borderId="0" xfId="0" applyNumberFormat="1" applyFont="1" applyFill="1" applyAlignment="1">
      <alignment horizontal="centerContinuous" vertical="center"/>
    </xf>
    <xf numFmtId="0" fontId="6" fillId="2" borderId="0" xfId="0" applyFont="1" applyFill="1" applyAlignment="1">
      <alignment horizontal="left" vertical="center"/>
    </xf>
    <xf numFmtId="0" fontId="6" fillId="4" borderId="15" xfId="0" applyFont="1" applyFill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166" fontId="4" fillId="0" borderId="11" xfId="0" applyNumberFormat="1" applyFont="1" applyBorder="1" applyAlignment="1" applyProtection="1">
      <alignment horizontal="center" vertical="center"/>
      <protection locked="0"/>
    </xf>
    <xf numFmtId="167" fontId="4" fillId="0" borderId="11" xfId="0" applyNumberFormat="1" applyFont="1" applyBorder="1" applyAlignment="1" applyProtection="1">
      <alignment horizontal="center" vertical="center"/>
      <protection locked="0"/>
    </xf>
    <xf numFmtId="166" fontId="4" fillId="0" borderId="11" xfId="0" applyNumberFormat="1" applyFont="1" applyBorder="1" applyAlignment="1" applyProtection="1">
      <alignment horizontal="center" vertical="center" wrapText="1"/>
      <protection locked="0"/>
    </xf>
    <xf numFmtId="168" fontId="10" fillId="0" borderId="16" xfId="2" applyNumberFormat="1" applyFont="1" applyBorder="1" applyAlignment="1">
      <alignment horizontal="left" vertical="top" readingOrder="1"/>
    </xf>
    <xf numFmtId="0" fontId="10" fillId="0" borderId="16" xfId="2" applyFont="1" applyBorder="1" applyAlignment="1">
      <alignment horizontal="left" vertical="top" readingOrder="1"/>
    </xf>
    <xf numFmtId="169" fontId="10" fillId="0" borderId="16" xfId="2" applyNumberFormat="1" applyFont="1" applyBorder="1" applyAlignment="1">
      <alignment horizontal="right" vertical="top" readingOrder="1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</cellXfs>
  <cellStyles count="3">
    <cellStyle name="Normal" xfId="2" xr:uid="{74C5B15C-6DD5-4E63-B3EE-D100B48C98C4}"/>
    <cellStyle name="Standard" xfId="0" builtinId="0"/>
    <cellStyle name="Standard 3 2" xfId="1" xr:uid="{1CDCE0EB-93A0-4874-A604-74D81740BF21}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9" formatCode="[$-10407]#,##0.00;\(#,##0.00\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8" formatCode="[$-10407]dd\.mm\.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1" defaultTableStyle="TableStyleMedium2" defaultPivotStyle="PivotStyleLight16">
    <tableStyle name="Invisible" pivot="0" table="0" count="0" xr9:uid="{DF02E39F-1DED-4F2B-A60E-9C4254A5F75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'2021'!$B$3</c:f>
              <c:strCache>
                <c:ptCount val="1"/>
                <c:pt idx="0">
                  <c:v>Schadenzahlungen</c:v>
                </c:pt>
              </c:strCache>
            </c:strRef>
          </c:tx>
          <c:invertIfNegative val="0"/>
          <c:cat>
            <c:strRef>
              <c:f>'2021'!$A$4:$A$6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'2021'!$B$4:$B$6</c:f>
              <c:numCache>
                <c:formatCode>#,##0.00\ "€"</c:formatCode>
                <c:ptCount val="3"/>
                <c:pt idx="0">
                  <c:v>9727.6400000000012</c:v>
                </c:pt>
                <c:pt idx="1">
                  <c:v>8214.92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0-4C04-95A9-57771EA4DB3D}"/>
            </c:ext>
          </c:extLst>
        </c:ser>
        <c:ser>
          <c:idx val="1"/>
          <c:order val="1"/>
          <c:tx>
            <c:strRef>
              <c:f>'2021'!$C$3</c:f>
              <c:strCache>
                <c:ptCount val="1"/>
                <c:pt idx="0">
                  <c:v>Schadenreserven</c:v>
                </c:pt>
              </c:strCache>
            </c:strRef>
          </c:tx>
          <c:invertIfNegative val="0"/>
          <c:cat>
            <c:strRef>
              <c:f>'2021'!$A$4:$A$6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'2021'!$C$4:$C$6</c:f>
              <c:numCache>
                <c:formatCode>#,##0.00\ "€"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0-4C04-95A9-57771EA4D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8942720"/>
        <c:axId val="587995328"/>
        <c:axId val="0"/>
      </c:bar3DChart>
      <c:catAx>
        <c:axId val="59894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7995328"/>
        <c:crosses val="autoZero"/>
        <c:auto val="1"/>
        <c:lblAlgn val="ctr"/>
        <c:lblOffset val="100"/>
        <c:noMultiLvlLbl val="0"/>
      </c:catAx>
      <c:valAx>
        <c:axId val="587995328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598942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'2022'!$B$3</c:f>
              <c:strCache>
                <c:ptCount val="1"/>
                <c:pt idx="0">
                  <c:v>Schadenzahlungen</c:v>
                </c:pt>
              </c:strCache>
            </c:strRef>
          </c:tx>
          <c:invertIfNegative val="0"/>
          <c:cat>
            <c:strRef>
              <c:f>'2022'!$A$4:$A$6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'2022'!$B$4:$B$6</c:f>
              <c:numCache>
                <c:formatCode>#,##0.00\ "€"</c:formatCode>
                <c:ptCount val="3"/>
                <c:pt idx="0">
                  <c:v>6993.35</c:v>
                </c:pt>
                <c:pt idx="1">
                  <c:v>12832.439999999999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6-4941-981C-D5BC63289DDD}"/>
            </c:ext>
          </c:extLst>
        </c:ser>
        <c:ser>
          <c:idx val="1"/>
          <c:order val="1"/>
          <c:tx>
            <c:strRef>
              <c:f>'2022'!$C$3</c:f>
              <c:strCache>
                <c:ptCount val="1"/>
                <c:pt idx="0">
                  <c:v>Schadenreserven</c:v>
                </c:pt>
              </c:strCache>
            </c:strRef>
          </c:tx>
          <c:invertIfNegative val="0"/>
          <c:cat>
            <c:strRef>
              <c:f>'2022'!$A$4:$A$6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'2022'!$C$4:$C$6</c:f>
              <c:numCache>
                <c:formatCode>#,##0.00\ "€"</c:formatCode>
                <c:ptCount val="3"/>
                <c:pt idx="0">
                  <c:v>50000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6-4941-981C-D5BC63289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9228416"/>
        <c:axId val="598819392"/>
        <c:axId val="0"/>
      </c:bar3DChart>
      <c:catAx>
        <c:axId val="59922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8819392"/>
        <c:crosses val="autoZero"/>
        <c:auto val="1"/>
        <c:lblAlgn val="ctr"/>
        <c:lblOffset val="100"/>
        <c:noMultiLvlLbl val="0"/>
      </c:catAx>
      <c:valAx>
        <c:axId val="598819392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599228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'2023'!$B$3</c:f>
              <c:strCache>
                <c:ptCount val="1"/>
                <c:pt idx="0">
                  <c:v>Schadenzahlungen</c:v>
                </c:pt>
              </c:strCache>
            </c:strRef>
          </c:tx>
          <c:invertIfNegative val="0"/>
          <c:cat>
            <c:strRef>
              <c:f>'2023'!$A$4:$A$7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'2023'!$B$4:$B$7</c:f>
              <c:numCache>
                <c:formatCode>#,##0.00\ "€"</c:formatCode>
                <c:ptCount val="3"/>
                <c:pt idx="0">
                  <c:v>30663.72</c:v>
                </c:pt>
                <c:pt idx="1">
                  <c:v>14371.8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8-452D-B854-DA5986C68F09}"/>
            </c:ext>
          </c:extLst>
        </c:ser>
        <c:ser>
          <c:idx val="1"/>
          <c:order val="1"/>
          <c:tx>
            <c:strRef>
              <c:f>'2023'!$C$3</c:f>
              <c:strCache>
                <c:ptCount val="1"/>
                <c:pt idx="0">
                  <c:v>Schadenreserven</c:v>
                </c:pt>
              </c:strCache>
            </c:strRef>
          </c:tx>
          <c:invertIfNegative val="0"/>
          <c:cat>
            <c:strRef>
              <c:f>'2023'!$A$4:$A$7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'2023'!$C$4:$C$7</c:f>
              <c:numCache>
                <c:formatCode>#,##0.00\ "€"</c:formatCode>
                <c:ptCount val="3"/>
                <c:pt idx="0">
                  <c:v>2300</c:v>
                </c:pt>
                <c:pt idx="1">
                  <c:v>26200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8-452D-B854-DA5986C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9230464"/>
        <c:axId val="598822848"/>
        <c:axId val="0"/>
      </c:bar3DChart>
      <c:catAx>
        <c:axId val="59923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8822848"/>
        <c:crosses val="autoZero"/>
        <c:auto val="1"/>
        <c:lblAlgn val="ctr"/>
        <c:lblOffset val="100"/>
        <c:noMultiLvlLbl val="0"/>
      </c:catAx>
      <c:valAx>
        <c:axId val="598822848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599230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'2024'!$B$3</c:f>
              <c:strCache>
                <c:ptCount val="1"/>
                <c:pt idx="0">
                  <c:v>Schadenzahlungen</c:v>
                </c:pt>
              </c:strCache>
            </c:strRef>
          </c:tx>
          <c:invertIfNegative val="0"/>
          <c:cat>
            <c:strRef>
              <c:f>'2024'!$A$4:$A$6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'2024'!$B$4:$B$6</c:f>
              <c:numCache>
                <c:formatCode>#,##0.00\ "€"</c:formatCode>
                <c:ptCount val="3"/>
                <c:pt idx="0">
                  <c:v>4016.2299999999996</c:v>
                </c:pt>
                <c:pt idx="1">
                  <c:v>20222.650000000001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C-4F94-B078-7CFDC2761557}"/>
            </c:ext>
          </c:extLst>
        </c:ser>
        <c:ser>
          <c:idx val="1"/>
          <c:order val="1"/>
          <c:tx>
            <c:strRef>
              <c:f>'2024'!$C$3</c:f>
              <c:strCache>
                <c:ptCount val="1"/>
                <c:pt idx="0">
                  <c:v>Schadenreserven</c:v>
                </c:pt>
              </c:strCache>
            </c:strRef>
          </c:tx>
          <c:invertIfNegative val="0"/>
          <c:cat>
            <c:strRef>
              <c:f>'2024'!$A$4:$A$6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'2024'!$C$4:$C$6</c:f>
              <c:numCache>
                <c:formatCode>#,##0.00\ "€"</c:formatCode>
                <c:ptCount val="3"/>
                <c:pt idx="0">
                  <c:v>0</c:v>
                </c:pt>
                <c:pt idx="1">
                  <c:v>80376.19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C-4F94-B078-7CFDC2761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7481600"/>
        <c:axId val="47859968"/>
        <c:axId val="0"/>
      </c:bar3DChart>
      <c:catAx>
        <c:axId val="58748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859968"/>
        <c:crosses val="autoZero"/>
        <c:auto val="1"/>
        <c:lblAlgn val="ctr"/>
        <c:lblOffset val="100"/>
        <c:noMultiLvlLbl val="0"/>
      </c:catAx>
      <c:valAx>
        <c:axId val="47859968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587481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'2025'!$B$3</c:f>
              <c:strCache>
                <c:ptCount val="1"/>
                <c:pt idx="0">
                  <c:v>Schadenzahlungen</c:v>
                </c:pt>
              </c:strCache>
            </c:strRef>
          </c:tx>
          <c:invertIfNegative val="0"/>
          <c:cat>
            <c:strRef>
              <c:f>'2025'!$A$4:$A$6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'2025'!$B$4:$B$6</c:f>
              <c:numCache>
                <c:formatCode>#,##0.00\ "€"</c:formatCode>
                <c:ptCount val="3"/>
                <c:pt idx="0">
                  <c:v>14594.119999999999</c:v>
                </c:pt>
                <c:pt idx="1">
                  <c:v>9852.0299999999988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B-45E5-828D-18C2595795CC}"/>
            </c:ext>
          </c:extLst>
        </c:ser>
        <c:ser>
          <c:idx val="1"/>
          <c:order val="1"/>
          <c:tx>
            <c:strRef>
              <c:f>'2025'!$C$3</c:f>
              <c:strCache>
                <c:ptCount val="1"/>
                <c:pt idx="0">
                  <c:v>Schadenreserven</c:v>
                </c:pt>
              </c:strCache>
            </c:strRef>
          </c:tx>
          <c:invertIfNegative val="0"/>
          <c:cat>
            <c:strRef>
              <c:f>'2025'!$A$4:$A$6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'2025'!$C$4:$C$6</c:f>
              <c:numCache>
                <c:formatCode>#,##0.00\ "€"</c:formatCode>
                <c:ptCount val="3"/>
                <c:pt idx="0">
                  <c:v>0</c:v>
                </c:pt>
                <c:pt idx="1">
                  <c:v>62147.97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B-45E5-828D-18C259579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7483648"/>
        <c:axId val="587988992"/>
        <c:axId val="0"/>
      </c:bar3DChart>
      <c:catAx>
        <c:axId val="58748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7988992"/>
        <c:crosses val="autoZero"/>
        <c:auto val="1"/>
        <c:lblAlgn val="ctr"/>
        <c:lblOffset val="100"/>
        <c:noMultiLvlLbl val="0"/>
      </c:catAx>
      <c:valAx>
        <c:axId val="587988992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587483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'2026'!$B$3</c:f>
              <c:strCache>
                <c:ptCount val="1"/>
                <c:pt idx="0">
                  <c:v>Schadenzahlungen</c:v>
                </c:pt>
              </c:strCache>
            </c:strRef>
          </c:tx>
          <c:invertIfNegative val="0"/>
          <c:cat>
            <c:strRef>
              <c:f>'2026'!$A$4:$A$6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'2026'!$B$4:$B$6</c:f>
              <c:numCache>
                <c:formatCode>#,##0.00\ "€"</c:formatCode>
                <c:ptCount val="3"/>
                <c:pt idx="0">
                  <c:v>1611.31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2-4FA1-A619-52594A47A8C3}"/>
            </c:ext>
          </c:extLst>
        </c:ser>
        <c:ser>
          <c:idx val="1"/>
          <c:order val="1"/>
          <c:tx>
            <c:strRef>
              <c:f>'2026'!$C$3</c:f>
              <c:strCache>
                <c:ptCount val="1"/>
                <c:pt idx="0">
                  <c:v>Schadenreserven</c:v>
                </c:pt>
              </c:strCache>
            </c:strRef>
          </c:tx>
          <c:invertIfNegative val="0"/>
          <c:cat>
            <c:strRef>
              <c:f>'2026'!$A$4:$A$6</c:f>
              <c:strCache>
                <c:ptCount val="3"/>
                <c:pt idx="0">
                  <c:v>SACH</c:v>
                </c:pt>
                <c:pt idx="1">
                  <c:v>PERSONEN</c:v>
                </c:pt>
                <c:pt idx="2">
                  <c:v>VERMÖGEN</c:v>
                </c:pt>
              </c:strCache>
            </c:strRef>
          </c:cat>
          <c:val>
            <c:numRef>
              <c:f>'2026'!$C$4:$C$6</c:f>
              <c:numCache>
                <c:formatCode>#,##0.00\ "€"</c:formatCode>
                <c:ptCount val="3"/>
                <c:pt idx="0">
                  <c:v>4110</c:v>
                </c:pt>
                <c:pt idx="1">
                  <c:v>82500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72-4FA1-A619-52594A47A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7483648"/>
        <c:axId val="587988992"/>
        <c:axId val="0"/>
      </c:bar3DChart>
      <c:catAx>
        <c:axId val="58748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7988992"/>
        <c:crosses val="autoZero"/>
        <c:auto val="1"/>
        <c:lblAlgn val="ctr"/>
        <c:lblOffset val="100"/>
        <c:noMultiLvlLbl val="0"/>
      </c:catAx>
      <c:valAx>
        <c:axId val="587988992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587483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1219200</xdr:colOff>
      <xdr:row>26</xdr:row>
      <xdr:rowOff>180978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9C776A2-BF44-4F9F-9524-B326E49DD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1219200</xdr:colOff>
      <xdr:row>26</xdr:row>
      <xdr:rowOff>180978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0A27DB3-C915-4A80-AA76-BB46BBC74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1219200</xdr:colOff>
      <xdr:row>26</xdr:row>
      <xdr:rowOff>180978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6CE6BCB-27EB-4583-A873-1401E4AD3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1219200</xdr:colOff>
      <xdr:row>26</xdr:row>
      <xdr:rowOff>180978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238F5A1-2E99-4641-B456-25F83746A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1181100</xdr:colOff>
      <xdr:row>26</xdr:row>
      <xdr:rowOff>180978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C154D71-7F1C-4474-89A8-C848B4C89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1181100</xdr:colOff>
      <xdr:row>26</xdr:row>
      <xdr:rowOff>180978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031D77E-ACD3-4E76-A02B-1F0D2CDF3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elf\AppData\Local\Temp\5\wc6a44ab420\SWA6a44c4560\Auswertung%20WIRO%20Haft%20per%2023.03.2026%20(SWA1e895c1189103).xlsx" TargetMode="External"/><Relationship Id="rId1" Type="http://schemas.openxmlformats.org/officeDocument/2006/relationships/externalLinkPath" Target="file:///C:\Users\SHelf\AppData\Local\Temp\5\wc6a44ab420\SWA6a44c4560\Auswertung%20WIRO%20Haft%20per%2023.03.2026%20(SWA1e895c11891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kblatt"/>
      <sheetName val="Quotenblatt"/>
      <sheetName val="JHE"/>
      <sheetName val="2021"/>
      <sheetName val="2022"/>
      <sheetName val="2023"/>
      <sheetName val="2024"/>
      <sheetName val="Auswertung nach WIE"/>
      <sheetName val="2025"/>
      <sheetName val="2026"/>
      <sheetName val="Auswertung nach Objekten"/>
      <sheetName val="Wodis-Daten Kleinschäden"/>
      <sheetName val="VS-Daten"/>
      <sheetName val="Quelldaten Kleinschäden"/>
      <sheetName val="!! Quotenblatt Gesamt für SACH"/>
      <sheetName val="!! Quotenblatt Gebäude für SACH"/>
      <sheetName val="!! Quotenblatt HuG für SACH"/>
      <sheetName val="!! Zusammenfassung für SACH"/>
      <sheetName val="Quelldaten Großschäden"/>
      <sheetName val="Vergleich Schadensnummern"/>
      <sheetName val="Versionsverlauf"/>
      <sheetName val="SUR-Lexikon"/>
      <sheetName val="Benchmarking"/>
      <sheetName val="Auswertung WIRO Haft per 23.03"/>
    </sheetNames>
    <sheetDataSet>
      <sheetData sheetId="0"/>
      <sheetData sheetId="1">
        <row r="1">
          <cell r="B1" t="str">
            <v>WIRO Wohnen in Rostock Wohnungsgesellschaft mbH</v>
          </cell>
        </row>
        <row r="23">
          <cell r="M23" t="str">
            <v>nein</v>
          </cell>
        </row>
        <row r="29">
          <cell r="N29">
            <v>46197</v>
          </cell>
        </row>
      </sheetData>
      <sheetData sheetId="2"/>
      <sheetData sheetId="3">
        <row r="5">
          <cell r="B5" t="str">
            <v>Schadenzahlungen</v>
          </cell>
        </row>
      </sheetData>
      <sheetData sheetId="4">
        <row r="5">
          <cell r="B5" t="str">
            <v>Schadenzahlungen</v>
          </cell>
        </row>
      </sheetData>
      <sheetData sheetId="5">
        <row r="5">
          <cell r="B5" t="str">
            <v>Schadenzahlungen</v>
          </cell>
        </row>
      </sheetData>
      <sheetData sheetId="6">
        <row r="5">
          <cell r="B5" t="str">
            <v>Schadenzahlungen</v>
          </cell>
        </row>
      </sheetData>
      <sheetData sheetId="7"/>
      <sheetData sheetId="8">
        <row r="5">
          <cell r="B5" t="str">
            <v>Schadenzahlungen</v>
          </cell>
        </row>
      </sheetData>
      <sheetData sheetId="9">
        <row r="5">
          <cell r="B5" t="str">
            <v>Schadenzahlungen</v>
          </cell>
        </row>
      </sheetData>
      <sheetData sheetId="10"/>
      <sheetData sheetId="11"/>
      <sheetData sheetId="12"/>
      <sheetData sheetId="13"/>
      <sheetData sheetId="14">
        <row r="8">
          <cell r="B8">
            <v>17942.560000000001</v>
          </cell>
          <cell r="C8">
            <v>17942.560000000001</v>
          </cell>
          <cell r="D8">
            <v>30</v>
          </cell>
          <cell r="E8">
            <v>598.08533333333332</v>
          </cell>
          <cell r="F8">
            <v>34379</v>
          </cell>
        </row>
        <row r="9">
          <cell r="B9">
            <v>19825.79</v>
          </cell>
          <cell r="C9">
            <v>69825.789999999994</v>
          </cell>
          <cell r="D9">
            <v>22</v>
          </cell>
          <cell r="E9">
            <v>3173.8995454545452</v>
          </cell>
          <cell r="F9">
            <v>34992</v>
          </cell>
        </row>
        <row r="10">
          <cell r="B10">
            <v>45035.520000000004</v>
          </cell>
          <cell r="C10">
            <v>73535.520000000004</v>
          </cell>
          <cell r="D10">
            <v>31</v>
          </cell>
          <cell r="E10">
            <v>2372.1135483870971</v>
          </cell>
          <cell r="F10">
            <v>35113</v>
          </cell>
        </row>
        <row r="11">
          <cell r="B11">
            <v>24238.880000000001</v>
          </cell>
          <cell r="C11">
            <v>104615.06999999999</v>
          </cell>
          <cell r="D11">
            <v>22</v>
          </cell>
          <cell r="E11">
            <v>4755.2304545454544</v>
          </cell>
          <cell r="F11">
            <v>35337</v>
          </cell>
        </row>
        <row r="12">
          <cell r="B12">
            <v>24446.149999999998</v>
          </cell>
          <cell r="C12">
            <v>86594.12</v>
          </cell>
          <cell r="D12">
            <v>18</v>
          </cell>
          <cell r="E12">
            <v>4810.7844444444445</v>
          </cell>
          <cell r="F12">
            <v>35337</v>
          </cell>
        </row>
        <row r="13">
          <cell r="B13">
            <v>1611.31</v>
          </cell>
          <cell r="C13">
            <v>88221.31</v>
          </cell>
          <cell r="D13">
            <v>17</v>
          </cell>
          <cell r="E13">
            <v>5189.488823529412</v>
          </cell>
          <cell r="F13">
            <v>35507</v>
          </cell>
        </row>
        <row r="15">
          <cell r="B15">
            <v>133100.21</v>
          </cell>
          <cell r="C15">
            <v>440734.37</v>
          </cell>
          <cell r="D15">
            <v>140</v>
          </cell>
          <cell r="E15">
            <v>3148.1</v>
          </cell>
          <cell r="F15">
            <v>0</v>
          </cell>
        </row>
        <row r="16">
          <cell r="B16">
            <v>24273.594528875379</v>
          </cell>
          <cell r="C16">
            <v>80377.088753799399</v>
          </cell>
          <cell r="D16">
            <v>25.531914893617024</v>
          </cell>
          <cell r="E16">
            <v>3148.1</v>
          </cell>
          <cell r="F16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A4D87C-A1FE-43A0-9A14-D589482C269C}" name="Tabelle_Jahresblatt_2021" displayName="Tabelle_Jahresblatt_2021" ref="A3:E7" totalsRowCount="1" headerRowDxfId="119" dataDxfId="118" totalsRowDxfId="117">
  <autoFilter ref="A3:E6" xr:uid="{00000000-0009-0000-0100-000018000000}"/>
  <tableColumns count="5">
    <tableColumn id="1" xr3:uid="{796849C3-0668-4C71-850E-9C0D634B1974}" name="Ursache" totalsRowLabel="Ergebnis" dataDxfId="116" totalsRowDxfId="115"/>
    <tableColumn id="2" xr3:uid="{7A24CB95-5857-4669-8383-B5346354E6FD}" name="Schadenzahlungen" totalsRowFunction="sum" dataDxfId="114" totalsRowDxfId="113">
      <calculatedColumnFormula>SUMIFS([1]!Kleinschadentabelle[Schadenhöhe (bereinigt)],[1]!Kleinschadentabelle[Schadenart (bereinigt)],Tabelle_Jahresblatt_2021[[#This Row],[Ursache]],[1]!Kleinschadentabelle[Jahr],$E$1)+SUMIFS([1]!Großschadentabelle[Schadenzahlung abzgl. Regress],[1]!Großschadentabelle[Schadenart],Tabelle_Jahresblatt_2021[[#This Row],[Ursache]],[1]!Großschadentabelle[Jahr],$E$1)</calculatedColumnFormula>
    </tableColumn>
    <tableColumn id="3" xr3:uid="{87236046-0417-4BF6-A40D-7C383354D451}" name="Schadenreserven" totalsRowFunction="sum" dataDxfId="112" totalsRowDxfId="111">
      <calculatedColumnFormula>SUMIFS([1]!Großschadentabelle[Schaden-
reserve],[1]!Großschadentabelle[Schadenart],Tabelle_Jahresblatt_2021[[#This Row],[Ursache]],[1]!Großschadentabelle[Jahr],$E$1)</calculatedColumnFormula>
    </tableColumn>
    <tableColumn id="4" xr3:uid="{2A224DC5-8FC5-445B-B158-4C7FC5D03219}" name="Gesamtaufwand" totalsRowFunction="sum" dataDxfId="110" totalsRowDxfId="109">
      <calculatedColumnFormula>SUMIFS([1]!Kleinschadentabelle[Schadenhöhe (bereinigt)],[1]!Kleinschadentabelle[Schadenart (bereinigt)],Tabelle_Jahresblatt_2021[[#This Row],[Ursache]],[1]!Kleinschadentabelle[Jahr],$E$1)+SUMIFS([1]!Großschadentabelle[Gesamt-
Schaden],[1]!Großschadentabelle[Schadenart],Tabelle_Jahresblatt_2021[[#This Row],[Ursache]],[1]!Großschadentabelle[Jahr],$E$1)</calculatedColumnFormula>
    </tableColumn>
    <tableColumn id="5" xr3:uid="{31FF6128-72A2-459B-ABC5-C8A3616D1E3B}" name="Anzahl" totalsRowFunction="sum" dataDxfId="108" totalsRowDxfId="107">
      <calculatedColumnFormula>SUMIFS([1]!Kleinschadentabelle[Schadenzähler],[1]!Kleinschadentabelle[Schadenart (bereinigt)],Tabelle_Jahresblatt_2021[[#This Row],[Ursache]],[1]!Kleinschadentabelle[Jahr],$E$1)+SUMIFS([1]!Großschadentabelle[Anzahl],[1]!Großschadentabelle[Schadenart],Tabelle_Jahresblatt_2021[[#This Row],[Ursache]],[1]!Großschadentabelle[Jahr],$E$1)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2CABBC-ECBD-4FC7-BBC8-5CDEAC066280}" name="Tabelle_Jahresblatt_2022" displayName="Tabelle_Jahresblatt_2022" ref="A3:E7" totalsRowCount="1" headerRowDxfId="106" dataDxfId="105" totalsRowDxfId="104">
  <autoFilter ref="A3:E6" xr:uid="{00000000-0009-0000-0100-000019000000}"/>
  <tableColumns count="5">
    <tableColumn id="1" xr3:uid="{11F93E07-7B11-4DBB-AF77-EE0AA11AAB34}" name="Ursache" totalsRowLabel="Ergebnis" dataDxfId="103" totalsRowDxfId="102"/>
    <tableColumn id="2" xr3:uid="{C6BCDC8E-6507-4D41-8103-8075973F0172}" name="Schadenzahlungen" totalsRowFunction="sum" dataDxfId="101" totalsRowDxfId="100">
      <calculatedColumnFormula>SUMIFS([1]!Kleinschadentabelle[Schadenhöhe (bereinigt)],[1]!Kleinschadentabelle[Schadenart (bereinigt)],Tabelle_Jahresblatt_2022[[#This Row],[Ursache]],[1]!Kleinschadentabelle[Jahr],$E$1)+SUMIFS([1]!Großschadentabelle[Schadenzahlung abzgl. Regress],[1]!Großschadentabelle[Schadenart],Tabelle_Jahresblatt_2022[[#This Row],[Ursache]],[1]!Großschadentabelle[Jahr],$E$1)</calculatedColumnFormula>
    </tableColumn>
    <tableColumn id="3" xr3:uid="{3F1EDC9C-B9B2-4FE8-8B4D-1E8CA92E4B45}" name="Schadenreserven" totalsRowFunction="sum" dataDxfId="99" totalsRowDxfId="98">
      <calculatedColumnFormula>SUMIFS([1]!Großschadentabelle[Schaden-
reserve],[1]!Großschadentabelle[Schadenart],Tabelle_Jahresblatt_2022[[#This Row],[Ursache]],[1]!Großschadentabelle[Jahr],$E$1)</calculatedColumnFormula>
    </tableColumn>
    <tableColumn id="4" xr3:uid="{8EC9FFF1-79F1-4B3C-B435-08EA04B76A13}" name="Gesamtaufwand" totalsRowFunction="sum" dataDxfId="97" totalsRowDxfId="96">
      <calculatedColumnFormula>SUMIFS([1]!Kleinschadentabelle[Schadenhöhe (bereinigt)],[1]!Kleinschadentabelle[Schadenart (bereinigt)],Tabelle_Jahresblatt_2022[[#This Row],[Ursache]],[1]!Kleinschadentabelle[Jahr],$E$1)+SUMIFS([1]!Großschadentabelle[Gesamt-
Schaden],[1]!Großschadentabelle[Schadenart],Tabelle_Jahresblatt_2022[[#This Row],[Ursache]],[1]!Großschadentabelle[Jahr],$E$1)</calculatedColumnFormula>
    </tableColumn>
    <tableColumn id="5" xr3:uid="{A30A557D-7885-420F-8DDB-6AE3E090BC25}" name="Anzahl" totalsRowFunction="sum" dataDxfId="95" totalsRowDxfId="94">
      <calculatedColumnFormula>SUMIFS([1]!Kleinschadentabelle[Schadenzähler],[1]!Kleinschadentabelle[Schadenart (bereinigt)],Tabelle_Jahresblatt_2022[[#This Row],[Ursache]],[1]!Kleinschadentabelle[Jahr],$E$1)+SUMIFS([1]!Großschadentabelle[Anzahl],[1]!Großschadentabelle[Schadenart],Tabelle_Jahresblatt_2022[[#This Row],[Ursache]],[1]!Großschadentabelle[Jahr],$E$1)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AC5BA6-44FB-4463-A735-19C89932E67B}" name="Tabelle_Jahresblatt_2023" displayName="Tabelle_Jahresblatt_2023" ref="A3:E7" totalsRowCount="1" headerRowDxfId="93" dataDxfId="92" totalsRowDxfId="91">
  <autoFilter ref="A3:E6" xr:uid="{00000000-0009-0000-0100-000008000000}"/>
  <tableColumns count="5">
    <tableColumn id="1" xr3:uid="{E385AD61-8B1D-424C-BA3A-A1315E2F6962}" name="Ursache" totalsRowLabel="Ergebnis" dataDxfId="90" totalsRowDxfId="89"/>
    <tableColumn id="2" xr3:uid="{CE8E2EF2-0EFF-4731-A5F6-D6699DB0E14C}" name="Schadenzahlungen" totalsRowFunction="sum" dataDxfId="88" totalsRowDxfId="87">
      <calculatedColumnFormula>SUMIFS([1]!Kleinschadentabelle[Schadenhöhe (bereinigt)],[1]!Kleinschadentabelle[Schadenart (bereinigt)],Tabelle_Jahresblatt_2023[[#This Row],[Ursache]],[1]!Kleinschadentabelle[Jahr],$E$1)+SUMIFS([1]!Großschadentabelle[Schadenzahlung abzgl. Regress],[1]!Großschadentabelle[Schadenart],Tabelle_Jahresblatt_2023[[#This Row],[Ursache]],[1]!Großschadentabelle[Jahr],$E$1)</calculatedColumnFormula>
    </tableColumn>
    <tableColumn id="3" xr3:uid="{F7D4AA1F-63E1-414D-A76F-3057832B33BC}" name="Schadenreserven" totalsRowFunction="sum" dataDxfId="86" totalsRowDxfId="85">
      <calculatedColumnFormula>SUMIFS([1]!Großschadentabelle[Schaden-
reserve],[1]!Großschadentabelle[Schadenart],Tabelle_Jahresblatt_2023[[#This Row],[Ursache]],[1]!Großschadentabelle[Jahr],$E$1)</calculatedColumnFormula>
    </tableColumn>
    <tableColumn id="4" xr3:uid="{87A21FD1-0CDA-4F80-9E64-39F6F9DD4FD9}" name="Gesamtaufwand" totalsRowFunction="sum" dataDxfId="84" totalsRowDxfId="83">
      <calculatedColumnFormula>SUMIFS([1]!Kleinschadentabelle[Schadenhöhe (bereinigt)],[1]!Kleinschadentabelle[Schadenart (bereinigt)],Tabelle_Jahresblatt_2023[[#This Row],[Ursache]],[1]!Kleinschadentabelle[Jahr],$E$1)+SUMIFS([1]!Großschadentabelle[Gesamt-
Schaden],[1]!Großschadentabelle[Schadenart],Tabelle_Jahresblatt_2023[[#This Row],[Ursache]],[1]!Großschadentabelle[Jahr],$E$1)</calculatedColumnFormula>
    </tableColumn>
    <tableColumn id="5" xr3:uid="{2051B56B-691F-40B0-AC8C-C8D4CC613E7E}" name="Anzahl" totalsRowFunction="sum" dataDxfId="82" totalsRowDxfId="81">
      <calculatedColumnFormula>SUMIFS([1]!Kleinschadentabelle[Schadenzähler],[1]!Kleinschadentabelle[Schadenart (bereinigt)],Tabelle_Jahresblatt_2023[[#This Row],[Ursache]],[1]!Kleinschadentabelle[Jahr],$E$1)+SUMIFS([1]!Großschadentabelle[Anzahl],[1]!Großschadentabelle[Schadenart],Tabelle_Jahresblatt_2023[[#This Row],[Ursache]],[1]!Großschadentabelle[Jahr],$E$1)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B97AEE0-421B-4011-9603-D5829F8B38D0}" name="Tabelle_Jahresblatt_2024" displayName="Tabelle_Jahresblatt_2024" ref="A3:E7" totalsRowCount="1" headerRowDxfId="80" dataDxfId="79" totalsRowDxfId="78">
  <autoFilter ref="A3:E6" xr:uid="{00000000-0009-0000-0100-000015000000}"/>
  <tableColumns count="5">
    <tableColumn id="1" xr3:uid="{51204868-E59D-4AB9-894B-7F380D284BCF}" name="Ursache" totalsRowLabel="Ergebnis" dataDxfId="77" totalsRowDxfId="76"/>
    <tableColumn id="2" xr3:uid="{9BF0D6C0-E9D3-4008-84E6-F7C13562A4E3}" name="Schadenzahlungen" totalsRowFunction="sum" dataDxfId="75" totalsRowDxfId="74">
      <calculatedColumnFormula>SUMIFS([1]!Kleinschadentabelle[Schadenhöhe (bereinigt)],[1]!Kleinschadentabelle[Schadenart (bereinigt)],Tabelle_Jahresblatt_2024[[#This Row],[Ursache]],[1]!Kleinschadentabelle[Jahr],$E$1)+SUMIFS([1]!Großschadentabelle[Schadenzahlung abzgl. Regress],[1]!Großschadentabelle[Schadenart],Tabelle_Jahresblatt_2024[[#This Row],[Ursache]],[1]!Großschadentabelle[Jahr],$E$1)</calculatedColumnFormula>
    </tableColumn>
    <tableColumn id="3" xr3:uid="{7D49D52E-B756-4C02-A8B9-A57921C9D40F}" name="Schadenreserven" totalsRowFunction="sum" dataDxfId="73" totalsRowDxfId="72">
      <calculatedColumnFormula>SUMIFS([1]!Großschadentabelle[Schaden-
reserve],[1]!Großschadentabelle[Schadenart],Tabelle_Jahresblatt_2024[[#This Row],[Ursache]],[1]!Großschadentabelle[Jahr],$E$1)</calculatedColumnFormula>
    </tableColumn>
    <tableColumn id="4" xr3:uid="{DEADAEB8-3BD4-45AA-9991-BB0FE9595317}" name="Gesamtaufwand" totalsRowFunction="sum" dataDxfId="71" totalsRowDxfId="70">
      <calculatedColumnFormula>SUMIFS([1]!Kleinschadentabelle[Schadenhöhe (bereinigt)],[1]!Kleinschadentabelle[Schadenart (bereinigt)],Tabelle_Jahresblatt_2024[[#This Row],[Ursache]],[1]!Kleinschadentabelle[Jahr],$E$1)+SUMIFS([1]!Großschadentabelle[Gesamt-
Schaden],[1]!Großschadentabelle[Schadenart],Tabelle_Jahresblatt_2024[[#This Row],[Ursache]],[1]!Großschadentabelle[Jahr],$E$1)</calculatedColumnFormula>
    </tableColumn>
    <tableColumn id="5" xr3:uid="{CD2D255D-1630-4878-A218-3A91C7A817FD}" name="Anzahl" totalsRowFunction="sum" dataDxfId="69" totalsRowDxfId="68">
      <calculatedColumnFormula>SUMIFS([1]!Kleinschadentabelle[Schadenzähler],[1]!Kleinschadentabelle[Schadenart (bereinigt)],Tabelle_Jahresblatt_2024[[#This Row],[Ursache]],[1]!Kleinschadentabelle[Jahr],$E$1)+SUMIFS([1]!Großschadentabelle[Anzahl],[1]!Großschadentabelle[Schadenart],Tabelle_Jahresblatt_2024[[#This Row],[Ursache]],[1]!Großschadentabelle[Jahr],$E$1)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CE366E1-6707-4F29-8A53-163F5D31FE07}" name="Tabelle_Jahresblatt_2025" displayName="Tabelle_Jahresblatt_2025" ref="A3:E7" totalsRowCount="1" headerRowDxfId="67" dataDxfId="66" totalsRowDxfId="65">
  <autoFilter ref="A3:E6" xr:uid="{00000000-0009-0000-0100-000016000000}"/>
  <tableColumns count="5">
    <tableColumn id="1" xr3:uid="{117A30B7-89F3-42AE-8CD8-C8C6AC3B54CA}" name="Ursache" totalsRowLabel="Ergebnis" dataDxfId="64" totalsRowDxfId="63"/>
    <tableColumn id="2" xr3:uid="{1EAB3E3D-8920-43D8-B896-E75D0A75B855}" name="Schadenzahlungen" totalsRowFunction="sum" dataDxfId="62" totalsRowDxfId="61">
      <calculatedColumnFormula>IF([1]Quotenblatt!$M$23="nein",SUMIFS([1]!Kleinschadentabelle[Schadenhöhe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Row],[Ursache]],[1]!Großschadentabelle[Jahr],$E$1,[1]!Großschadentabelle[Hausverwalter relevant?],"ja")))</calculatedColumnFormula>
    </tableColumn>
    <tableColumn id="3" xr3:uid="{A69BBE84-07B6-449B-821E-C9244FD64ACA}" name="Schadenreserven" totalsRowFunction="sum" dataDxfId="60" totalsRowDxfId="59">
      <calculatedColumnFormula>IF([1]Quotenblatt!$M$23="nein",SUMIFS([1]!Großschadentabelle[Schaden-
reserve],[1]!Großschadentabelle[Schadenart],Tabelle_Jahresblatt_2025[[#This Row],[Ursache]],[1]!Großschadentabelle[Jahr],$E$1),IF([1]Quotenblatt!$M$23="ja",SUMIFS([1]!Großschadentabelle[Schaden-
reserve],[1]!Großschadentabelle[Schadenart],Tabelle_Jahresblatt_2025[[#This Row],[Ursache]],[1]!Großschadentabelle[Jahr],$E$1, [1]!Großschadentabelle[Hausverwalter relevant?],"ja")))</calculatedColumnFormula>
    </tableColumn>
    <tableColumn id="4" xr3:uid="{48F1DE0A-7443-4163-8806-6F39C9AC4130}" name="Gesamtaufwand" totalsRowFunction="sum" dataDxfId="58" totalsRowDxfId="57">
      <calculatedColumnFormula>IF([1]Quotenblatt!$M$23="nein",SUMIFS([1]!Kleinschadentabelle[Schadenhöhe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Row],[Ursache]],[1]!Großschadentabelle[Jahr],$E$1,[1]!Großschadentabelle[Hausverwalter relevant?],"ja")))</calculatedColumnFormula>
    </tableColumn>
    <tableColumn id="5" xr3:uid="{7D9A2AF3-8270-4CC6-A072-B839D0B9A4F4}" name="Anzahl" totalsRowFunction="sum" dataDxfId="56" totalsRowDxfId="55">
      <calculatedColumnFormula>IF([1]Quotenblatt!$M$23="nein",SUMIFS([1]!Kleinschadentabelle[Schadenzähler],[1]!Kleinschadentabelle[Schadenart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Row],[Ursache]],[1]!Großschadentabelle[Jahr],$E$1),IF([1]Quotenblatt!$M$23="ja",SUMIFS([1]!Kleinschadentabelle[Schadenzähler],[1]!Kleinschadentabelle[Schadenart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Row],[Ursache]],[1]!Großschadentabelle[Jahr],$E$1,[1]!Großschadentabelle[Hausverwalter relevant?],"ja")))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FD9AC0B-0614-4FEB-BBE7-4B53E4522878}" name="Tabelle_Jahresblatt_2026" displayName="Tabelle_Jahresblatt_2026" ref="A3:E7" totalsRowCount="1" headerRowDxfId="54" dataDxfId="53" totalsRowDxfId="52">
  <autoFilter ref="A3:E6" xr:uid="{00000000-0009-0000-0100-000016000000}"/>
  <tableColumns count="5">
    <tableColumn id="1" xr3:uid="{DB64B5FF-669F-4443-97A6-6873C25C637F}" name="Ursache" totalsRowLabel="Ergebnis" dataDxfId="51" totalsRowDxfId="50"/>
    <tableColumn id="2" xr3:uid="{8D535B27-96C1-4AC9-847B-17A749F11B0B}" name="Schadenzahlungen" totalsRowFunction="sum" dataDxfId="49" totalsRowDxfId="48">
      <calculatedColumnFormula>IF([1]Quotenblatt!$M$23="nein",SUMIFS([1]!Kleinschadentabelle[Schadenhöhe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Row],[Ursache]],[1]!Großschadentabelle[Jahr],$E$1,[1]!Großschadentabelle[Hausverwalter relevant?],"ja")))</calculatedColumnFormula>
    </tableColumn>
    <tableColumn id="3" xr3:uid="{81C28BF8-DDCB-4ED1-BAE0-D533B1706569}" name="Schadenreserven" totalsRowFunction="sum" dataDxfId="47" totalsRowDxfId="46">
      <calculatedColumnFormula>IF([1]Quotenblatt!$M$23="nein",SUMIFS([1]!Großschadentabelle[Schaden-
reserve],[1]!Großschadentabelle[Schadenart],Tabelle_Jahresblatt_2026[[#This Row],[Ursache]],[1]!Großschadentabelle[Jahr],$E$1),IF([1]Quotenblatt!$M$23="ja",SUMIFS([1]!Großschadentabelle[Schaden-
reserve],[1]!Großschadentabelle[Schadenart],Tabelle_Jahresblatt_2026[[#This Row],[Ursache]],[1]!Großschadentabelle[Jahr],$E$1, [1]!Großschadentabelle[Hausverwalter relevant?],"ja")))</calculatedColumnFormula>
    </tableColumn>
    <tableColumn id="4" xr3:uid="{5B94390D-D323-446C-83EF-6AB42F26399F}" name="Gesamtaufwand" totalsRowFunction="sum" dataDxfId="45" totalsRowDxfId="44">
      <calculatedColumnFormula>IF([1]Quotenblatt!$M$23="nein",SUMIFS([1]!Kleinschadentabelle[Schadenhöhe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Row],[Ursache]],[1]!Großschadentabelle[Jahr],$E$1,[1]!Großschadentabelle[Hausverwalter relevant?],"ja")))</calculatedColumnFormula>
    </tableColumn>
    <tableColumn id="5" xr3:uid="{57E39DBC-3FF1-425A-A492-8F37049A904B}" name="Anzahl" totalsRowFunction="sum" dataDxfId="43" totalsRowDxfId="42">
      <calculatedColumnFormula>IF([1]Quotenblatt!$M$23="nein",SUMIFS([1]!Kleinschadentabelle[Schadenzähler],[1]!Kleinschadentabelle[Schadenart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Row],[Ursache]],[1]!Großschadentabelle[Jahr],$E$1),IF([1]Quotenblatt!$M$23="ja",SUMIFS([1]!Kleinschadentabelle[Schadenzähler],[1]!Kleinschadentabelle[Schadenart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Row],[Ursache]],[1]!Großschadentabelle[Jahr],$E$1,[1]!Großschadentabelle[Hausverwalter relevant?],"ja")))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31D0719-6422-4530-9363-FD87FE900AA4}" name="Großschadentabelle" displayName="Großschadentabelle" ref="A6:S146" headerRowDxfId="41" dataDxfId="39" headerRowBorderDxfId="40" tableBorderDxfId="38">
  <autoFilter ref="A6:S146" xr:uid="{00000000-0009-0000-0100-000001000000}"/>
  <tableColumns count="19">
    <tableColumn id="3" xr3:uid="{D688B539-4BEC-432A-8EE7-7B7586EFE652}" name="Datum" dataDxfId="37" totalsRowDxfId="36" dataCellStyle="Normal"/>
    <tableColumn id="5" xr3:uid="{D5BB14B2-9EBF-4E96-A0F9-1DF435AD228D}" name="Erledigt" dataDxfId="35" totalsRowDxfId="34" dataCellStyle="Normal"/>
    <tableColumn id="6" xr3:uid="{E2EA5C9A-EE1B-47DB-81B5-698122A73B21}" name="Az. Kunde" dataDxfId="33" totalsRowDxfId="32" dataCellStyle="Normal"/>
    <tableColumn id="7" xr3:uid="{F799D01C-BF7A-451A-AC1E-5D89C9C9B68B}" name="SB %" dataDxfId="31" totalsRowDxfId="30" dataCellStyle="Normal"/>
    <tableColumn id="8" xr3:uid="{F6C0F1BA-AFD5-4CC1-8ABC-E2B4AE0C25D2}" name="SB" dataDxfId="29" totalsRowDxfId="28" dataCellStyle="Normal"/>
    <tableColumn id="9" xr3:uid="{A262DA36-9A0F-4B4E-A095-0C4A6D301BD1}" name="SB err." dataDxfId="27" totalsRowDxfId="26" dataCellStyle="Normal"/>
    <tableColumn id="10" xr3:uid="{A5974258-8DAB-49D7-AAAB-A6BF5AC844BE}" name="Schaden-_x000a_reserve" dataDxfId="25" totalsRowDxfId="24" dataCellStyle="Normal"/>
    <tableColumn id="11" xr3:uid="{F93FC2B4-43AE-4E31-A9B9-59416278A947}" name="Schaden-_x000a_zahlung" dataDxfId="23" totalsRowDxfId="22" dataCellStyle="Normal"/>
    <tableColumn id="12" xr3:uid="{8EEDAED7-BFE5-4A31-B473-8B9BA50FA94D}" name="Summe_x000a_Aufwand" dataDxfId="21" totalsRowDxfId="20" dataCellStyle="Normal"/>
    <tableColumn id="13" xr3:uid="{DBA240CA-0790-4814-BAFB-4B12F08096C2}" name="Regreß" dataDxfId="19" totalsRowDxfId="18" dataCellStyle="Normal"/>
    <tableColumn id="14" xr3:uid="{E5D8E910-A429-4381-8FCC-F879C5EA6B7B}" name="Gesamt-_x000a_Schaden" dataDxfId="17" totalsRowDxfId="16" dataCellStyle="Normal"/>
    <tableColumn id="15" xr3:uid="{ADDB5ED9-6344-49CB-824F-5F18AFD6C08D}" name="Kosten" dataDxfId="15" totalsRowDxfId="14" dataCellStyle="Normal"/>
    <tableColumn id="16" xr3:uid="{FE71F551-FA44-4D73-83E9-9ECA4672033C}" name="Schadenart" dataDxfId="13" totalsRowDxfId="12" dataCellStyle="Normal"/>
    <tableColumn id="17" xr3:uid="{4E589027-78E5-4194-B28B-853E0068E4AE}" name="Schl.Grund" dataDxfId="11" totalsRowDxfId="10" dataCellStyle="Normal"/>
    <tableColumn id="18" xr3:uid="{DEBA16AA-D491-4162-8667-907CF9883DD3}" name="Schadentext" dataDxfId="9" totalsRowDxfId="8" dataCellStyle="Normal"/>
    <tableColumn id="19" xr3:uid="{ABAC9575-68C8-4BF4-B4F1-1F0D4DBAFB66}" name="Ort" dataDxfId="7" totalsRowDxfId="6" dataCellStyle="Normal"/>
    <tableColumn id="20" xr3:uid="{65EE2D40-E7C0-4A26-89A4-3964968BDF44}" name="Schadenursache" dataDxfId="5" totalsRowDxfId="4" dataCellStyle="Normal"/>
    <tableColumn id="21" xr3:uid="{9A8CEB41-8569-45D0-A6F8-6C889BFA9642}" name="Interne Notiz" dataDxfId="3" totalsRowDxfId="2" dataCellStyle="Normal"/>
    <tableColumn id="22" xr3:uid="{71EECBA6-1612-41DC-9400-F272E3B38687}" name="Kunde" dataDxfId="1" totalsRowDxfId="0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C825-FA8D-44FF-ADAA-3BABAE10A6D6}">
  <sheetPr>
    <tabColor theme="9" tint="0.59999389629810485"/>
    <pageSetUpPr fitToPage="1"/>
  </sheetPr>
  <dimension ref="A1:M76"/>
  <sheetViews>
    <sheetView tabSelected="1" zoomScaleNormal="100" workbookViewId="0">
      <selection activeCell="H10" sqref="H10"/>
    </sheetView>
  </sheetViews>
  <sheetFormatPr baseColWidth="10" defaultRowHeight="14.4" x14ac:dyDescent="0.3"/>
  <cols>
    <col min="1" max="1" width="22.33203125" bestFit="1" customWidth="1"/>
    <col min="2" max="4" width="18.6640625" customWidth="1"/>
    <col min="5" max="5" width="12.109375" customWidth="1"/>
    <col min="6" max="6" width="11.44140625" style="2"/>
    <col min="8" max="8" width="22.33203125" bestFit="1" customWidth="1"/>
    <col min="9" max="11" width="18.6640625" customWidth="1"/>
    <col min="12" max="12" width="12.109375" customWidth="1"/>
  </cols>
  <sheetData>
    <row r="1" spans="1:13" x14ac:dyDescent="0.3">
      <c r="A1" s="1" t="s">
        <v>0</v>
      </c>
      <c r="B1" s="1" t="str">
        <f>[1]Quotenblatt!B1</f>
        <v>WIRO Wohnen in Rostock Wohnungsgesellschaft mbH</v>
      </c>
      <c r="C1" s="2"/>
      <c r="D1" s="2"/>
      <c r="E1" s="2"/>
      <c r="G1" s="2"/>
      <c r="H1" s="2"/>
      <c r="I1" s="2"/>
      <c r="J1" s="2"/>
      <c r="K1" s="2"/>
      <c r="L1" s="2"/>
      <c r="M1" s="2"/>
    </row>
    <row r="2" spans="1:13" x14ac:dyDescent="0.3">
      <c r="A2" s="2"/>
      <c r="B2" s="2"/>
      <c r="C2" s="2"/>
      <c r="D2" s="2"/>
      <c r="E2" s="2"/>
      <c r="G2" s="2"/>
      <c r="H2" s="2"/>
      <c r="I2" s="2"/>
      <c r="J2" s="2"/>
      <c r="K2" s="2"/>
      <c r="L2" s="2"/>
      <c r="M2" s="2"/>
    </row>
    <row r="3" spans="1:13" ht="15" thickBot="1" x14ac:dyDescent="0.35">
      <c r="A3" s="71"/>
      <c r="B3" s="71"/>
      <c r="F3"/>
      <c r="G3" s="2"/>
      <c r="H3" s="2"/>
      <c r="I3" s="2"/>
      <c r="J3" s="2"/>
      <c r="K3" s="2"/>
      <c r="L3" s="2"/>
      <c r="M3" s="2"/>
    </row>
    <row r="4" spans="1:13" ht="15" thickBot="1" x14ac:dyDescent="0.35">
      <c r="B4" s="72" t="s">
        <v>1</v>
      </c>
      <c r="C4" s="73"/>
      <c r="D4" s="74" t="s">
        <v>2</v>
      </c>
      <c r="E4" s="76" t="s">
        <v>3</v>
      </c>
      <c r="F4" s="76" t="s">
        <v>4</v>
      </c>
      <c r="G4" s="2"/>
      <c r="H4" s="2"/>
      <c r="I4" s="2"/>
      <c r="J4" s="2"/>
      <c r="K4" s="2"/>
      <c r="L4" s="2"/>
      <c r="M4" s="2"/>
    </row>
    <row r="5" spans="1:13" x14ac:dyDescent="0.3">
      <c r="A5" s="3" t="s">
        <v>5</v>
      </c>
      <c r="B5" s="4" t="s">
        <v>6</v>
      </c>
      <c r="C5" s="5" t="s">
        <v>7</v>
      </c>
      <c r="D5" s="75"/>
      <c r="E5" s="77"/>
      <c r="F5" s="77"/>
      <c r="G5" s="2"/>
      <c r="H5" s="2"/>
      <c r="I5" s="2"/>
      <c r="J5" s="2"/>
      <c r="K5" s="2"/>
      <c r="L5" s="2"/>
      <c r="M5" s="2"/>
    </row>
    <row r="6" spans="1:13" ht="0.75" customHeight="1" thickBot="1" x14ac:dyDescent="0.35">
      <c r="A6" s="7"/>
      <c r="B6" s="4"/>
      <c r="C6" s="5"/>
      <c r="D6" s="8"/>
      <c r="E6" s="6"/>
      <c r="F6" s="9"/>
      <c r="G6" s="2"/>
      <c r="H6" s="2"/>
      <c r="I6" s="2"/>
      <c r="J6" s="2"/>
      <c r="K6" s="2"/>
      <c r="L6" s="2"/>
      <c r="M6" s="2"/>
    </row>
    <row r="7" spans="1:13" x14ac:dyDescent="0.3">
      <c r="A7" s="10" t="s">
        <v>8</v>
      </c>
      <c r="B7" s="11">
        <f>'[1]!! Quotenblatt Gesamt für SACH'!B8</f>
        <v>17942.560000000001</v>
      </c>
      <c r="C7" s="12">
        <f>'[1]!! Quotenblatt Gesamt für SACH'!C8</f>
        <v>17942.560000000001</v>
      </c>
      <c r="D7" s="13">
        <f>'[1]!! Quotenblatt Gesamt für SACH'!D8</f>
        <v>30</v>
      </c>
      <c r="E7" s="14">
        <f>'[1]!! Quotenblatt Gesamt für SACH'!E8</f>
        <v>598.08533333333332</v>
      </c>
      <c r="F7" s="15">
        <f>'[1]!! Quotenblatt Gesamt für SACH'!F8</f>
        <v>34379</v>
      </c>
      <c r="G7" s="2"/>
      <c r="H7" s="2"/>
      <c r="I7" s="2"/>
      <c r="J7" s="2"/>
      <c r="K7" s="2"/>
      <c r="L7" s="2"/>
      <c r="M7" s="2"/>
    </row>
    <row r="8" spans="1:13" x14ac:dyDescent="0.3">
      <c r="A8" s="16" t="s">
        <v>9</v>
      </c>
      <c r="B8" s="17">
        <f>'[1]!! Quotenblatt Gesamt für SACH'!B9</f>
        <v>19825.79</v>
      </c>
      <c r="C8" s="18">
        <f>'[1]!! Quotenblatt Gesamt für SACH'!C9</f>
        <v>69825.789999999994</v>
      </c>
      <c r="D8" s="19">
        <f>'[1]!! Quotenblatt Gesamt für SACH'!D9</f>
        <v>22</v>
      </c>
      <c r="E8" s="20">
        <f>'[1]!! Quotenblatt Gesamt für SACH'!E9</f>
        <v>3173.8995454545452</v>
      </c>
      <c r="F8" s="21">
        <f>'[1]!! Quotenblatt Gesamt für SACH'!F9</f>
        <v>34992</v>
      </c>
      <c r="G8" s="2"/>
      <c r="H8" s="2"/>
      <c r="I8" s="2"/>
      <c r="J8" s="2"/>
      <c r="K8" s="2"/>
      <c r="L8" s="2"/>
      <c r="M8" s="2"/>
    </row>
    <row r="9" spans="1:13" x14ac:dyDescent="0.3">
      <c r="A9" s="16" t="s">
        <v>10</v>
      </c>
      <c r="B9" s="17">
        <f>'[1]!! Quotenblatt Gesamt für SACH'!B10</f>
        <v>45035.520000000004</v>
      </c>
      <c r="C9" s="18">
        <f>'[1]!! Quotenblatt Gesamt für SACH'!C10</f>
        <v>73535.520000000004</v>
      </c>
      <c r="D9" s="19">
        <f>'[1]!! Quotenblatt Gesamt für SACH'!D10</f>
        <v>31</v>
      </c>
      <c r="E9" s="20">
        <f>'[1]!! Quotenblatt Gesamt für SACH'!E10</f>
        <v>2372.1135483870971</v>
      </c>
      <c r="F9" s="21">
        <f>'[1]!! Quotenblatt Gesamt für SACH'!F10</f>
        <v>35113</v>
      </c>
      <c r="G9" s="2"/>
      <c r="H9" s="2"/>
      <c r="I9" s="2"/>
      <c r="J9" s="2"/>
      <c r="K9" s="2"/>
      <c r="L9" s="2"/>
      <c r="M9" s="2"/>
    </row>
    <row r="10" spans="1:13" x14ac:dyDescent="0.3">
      <c r="A10" s="16" t="s">
        <v>11</v>
      </c>
      <c r="B10" s="17">
        <f>'[1]!! Quotenblatt Gesamt für SACH'!B11</f>
        <v>24238.880000000001</v>
      </c>
      <c r="C10" s="18">
        <f>'[1]!! Quotenblatt Gesamt für SACH'!C11</f>
        <v>104615.06999999999</v>
      </c>
      <c r="D10" s="19">
        <f>'[1]!! Quotenblatt Gesamt für SACH'!D11</f>
        <v>22</v>
      </c>
      <c r="E10" s="20">
        <f>'[1]!! Quotenblatt Gesamt für SACH'!E11</f>
        <v>4755.2304545454544</v>
      </c>
      <c r="F10" s="21">
        <f>'[1]!! Quotenblatt Gesamt für SACH'!F11</f>
        <v>35337</v>
      </c>
      <c r="G10" s="2"/>
      <c r="H10" s="2"/>
      <c r="I10" s="2"/>
      <c r="J10" s="2"/>
      <c r="K10" s="2"/>
      <c r="L10" s="2"/>
      <c r="M10" s="2"/>
    </row>
    <row r="11" spans="1:13" x14ac:dyDescent="0.3">
      <c r="A11" s="16" t="s">
        <v>12</v>
      </c>
      <c r="B11" s="17">
        <f>'[1]!! Quotenblatt Gesamt für SACH'!B12</f>
        <v>24446.149999999998</v>
      </c>
      <c r="C11" s="18">
        <f>'[1]!! Quotenblatt Gesamt für SACH'!C12</f>
        <v>86594.12</v>
      </c>
      <c r="D11" s="19">
        <f>'[1]!! Quotenblatt Gesamt für SACH'!D12</f>
        <v>18</v>
      </c>
      <c r="E11" s="20">
        <f>'[1]!! Quotenblatt Gesamt für SACH'!E12</f>
        <v>4810.7844444444445</v>
      </c>
      <c r="F11" s="21">
        <f>'[1]!! Quotenblatt Gesamt für SACH'!F12</f>
        <v>35337</v>
      </c>
      <c r="G11" s="2"/>
      <c r="H11" s="2"/>
      <c r="I11" s="2"/>
      <c r="J11" s="2"/>
      <c r="K11" s="2"/>
      <c r="L11" s="2"/>
      <c r="M11" s="2"/>
    </row>
    <row r="12" spans="1:13" ht="15" thickBot="1" x14ac:dyDescent="0.35">
      <c r="A12" s="22" t="s">
        <v>13</v>
      </c>
      <c r="B12" s="23">
        <f>'[1]!! Quotenblatt Gesamt für SACH'!B13</f>
        <v>1611.31</v>
      </c>
      <c r="C12" s="24">
        <f>'[1]!! Quotenblatt Gesamt für SACH'!C13</f>
        <v>88221.31</v>
      </c>
      <c r="D12" s="25">
        <f>'[1]!! Quotenblatt Gesamt für SACH'!D13</f>
        <v>17</v>
      </c>
      <c r="E12" s="26">
        <f>'[1]!! Quotenblatt Gesamt für SACH'!E13</f>
        <v>5189.488823529412</v>
      </c>
      <c r="F12" s="27">
        <f>'[1]!! Quotenblatt Gesamt für SACH'!F13</f>
        <v>35507</v>
      </c>
      <c r="G12" s="2"/>
      <c r="H12" s="2"/>
      <c r="I12" s="2"/>
      <c r="J12" s="2"/>
      <c r="K12" s="2"/>
      <c r="L12" s="2"/>
      <c r="M12" s="2"/>
    </row>
    <row r="13" spans="1:13" ht="15" thickBot="1" x14ac:dyDescent="0.35">
      <c r="A13" s="28"/>
      <c r="B13" s="17"/>
      <c r="C13" s="17"/>
      <c r="D13" s="19"/>
      <c r="E13" s="29"/>
      <c r="F13" s="30"/>
      <c r="G13" s="2"/>
      <c r="H13" s="2"/>
      <c r="I13" s="2"/>
      <c r="J13" s="2"/>
      <c r="K13" s="2"/>
      <c r="L13" s="2"/>
      <c r="M13" s="2"/>
    </row>
    <row r="14" spans="1:13" x14ac:dyDescent="0.3">
      <c r="A14" s="31" t="s">
        <v>14</v>
      </c>
      <c r="B14" s="32">
        <f>'[1]!! Quotenblatt Gesamt für SACH'!B15</f>
        <v>133100.21</v>
      </c>
      <c r="C14" s="32">
        <f>'[1]!! Quotenblatt Gesamt für SACH'!C15</f>
        <v>440734.37</v>
      </c>
      <c r="D14" s="33">
        <f>'[1]!! Quotenblatt Gesamt für SACH'!D15</f>
        <v>140</v>
      </c>
      <c r="E14" s="34">
        <f>'[1]!! Quotenblatt Gesamt für SACH'!E15</f>
        <v>3148.1</v>
      </c>
      <c r="F14" s="15">
        <f>'[1]!! Quotenblatt Gesamt für SACH'!F15</f>
        <v>0</v>
      </c>
      <c r="G14" s="2"/>
      <c r="H14" s="2"/>
      <c r="I14" s="2"/>
      <c r="J14" s="2"/>
      <c r="K14" s="2"/>
      <c r="L14" s="2"/>
      <c r="M14" s="2"/>
    </row>
    <row r="15" spans="1:13" ht="15" thickBot="1" x14ac:dyDescent="0.35">
      <c r="A15" s="35" t="s">
        <v>15</v>
      </c>
      <c r="B15" s="36">
        <f>'[1]!! Quotenblatt Gesamt für SACH'!B16</f>
        <v>24273.594528875379</v>
      </c>
      <c r="C15" s="36">
        <f>'[1]!! Quotenblatt Gesamt für SACH'!C16</f>
        <v>80377.088753799399</v>
      </c>
      <c r="D15" s="37">
        <f>'[1]!! Quotenblatt Gesamt für SACH'!D16</f>
        <v>25.531914893617024</v>
      </c>
      <c r="E15" s="38">
        <f>'[1]!! Quotenblatt Gesamt für SACH'!E16</f>
        <v>3148.1</v>
      </c>
      <c r="F15" s="27">
        <f>'[1]!! Quotenblatt Gesamt für SACH'!F16</f>
        <v>0</v>
      </c>
      <c r="G15" s="2"/>
      <c r="H15" s="39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G16" s="2"/>
      <c r="H16" s="39"/>
      <c r="I16" s="2"/>
      <c r="J16" s="2"/>
      <c r="K16" s="2"/>
      <c r="L16" s="2"/>
      <c r="M16" s="2"/>
    </row>
    <row r="17" spans="1:13" ht="15" customHeight="1" x14ac:dyDescent="0.3">
      <c r="A17" s="2"/>
      <c r="B17" s="2"/>
      <c r="C17" s="2"/>
      <c r="D17" s="2"/>
      <c r="E17" s="2"/>
    </row>
    <row r="18" spans="1:13" x14ac:dyDescent="0.3">
      <c r="A18" s="40">
        <f>[1]Quotenblatt!N29</f>
        <v>46197</v>
      </c>
      <c r="B18" s="2"/>
      <c r="C18" s="2"/>
      <c r="D18" s="2"/>
      <c r="E18" s="2"/>
    </row>
    <row r="19" spans="1:13" x14ac:dyDescent="0.3">
      <c r="A19" s="2"/>
      <c r="B19" s="2"/>
      <c r="C19" s="2"/>
      <c r="D19" s="2"/>
      <c r="E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G20" s="2"/>
      <c r="H20" s="39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G21" s="2"/>
      <c r="H21" s="39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G22" s="2"/>
      <c r="H22" s="39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G23" s="2"/>
      <c r="H23" s="39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G24" s="2"/>
      <c r="H24" s="39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G25" s="2"/>
      <c r="H25" s="39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G26" s="2"/>
      <c r="H26" s="39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G27" s="2"/>
      <c r="H27" s="39"/>
      <c r="I27" s="2"/>
      <c r="J27" s="2"/>
      <c r="K27" s="2"/>
      <c r="L27" s="2"/>
      <c r="M27" s="2"/>
    </row>
    <row r="28" spans="1:13" x14ac:dyDescent="0.3">
      <c r="G28" s="41"/>
      <c r="H28" s="41"/>
    </row>
    <row r="29" spans="1:13" x14ac:dyDescent="0.3">
      <c r="H29" s="41"/>
    </row>
    <row r="30" spans="1:13" x14ac:dyDescent="0.3">
      <c r="H30" s="41"/>
    </row>
    <row r="31" spans="1:13" x14ac:dyDescent="0.3">
      <c r="H31" s="41"/>
    </row>
    <row r="32" spans="1:13" x14ac:dyDescent="0.3">
      <c r="H32" s="41"/>
    </row>
    <row r="33" spans="8:8" x14ac:dyDescent="0.3">
      <c r="H33" s="41"/>
    </row>
    <row r="34" spans="8:8" x14ac:dyDescent="0.3">
      <c r="H34" s="41"/>
    </row>
    <row r="35" spans="8:8" x14ac:dyDescent="0.3">
      <c r="H35" s="41"/>
    </row>
    <row r="36" spans="8:8" x14ac:dyDescent="0.3">
      <c r="H36" s="41"/>
    </row>
    <row r="37" spans="8:8" x14ac:dyDescent="0.3">
      <c r="H37" s="41"/>
    </row>
    <row r="38" spans="8:8" x14ac:dyDescent="0.3">
      <c r="H38" s="41"/>
    </row>
    <row r="39" spans="8:8" x14ac:dyDescent="0.3">
      <c r="H39" s="41"/>
    </row>
    <row r="40" spans="8:8" x14ac:dyDescent="0.3">
      <c r="H40" s="41"/>
    </row>
    <row r="41" spans="8:8" x14ac:dyDescent="0.3">
      <c r="H41" s="41"/>
    </row>
    <row r="42" spans="8:8" x14ac:dyDescent="0.3">
      <c r="H42" s="41"/>
    </row>
    <row r="43" spans="8:8" x14ac:dyDescent="0.3">
      <c r="H43" s="41"/>
    </row>
    <row r="44" spans="8:8" x14ac:dyDescent="0.3">
      <c r="H44" s="41"/>
    </row>
    <row r="45" spans="8:8" x14ac:dyDescent="0.3">
      <c r="H45" s="41"/>
    </row>
    <row r="46" spans="8:8" x14ac:dyDescent="0.3">
      <c r="H46" s="41"/>
    </row>
    <row r="47" spans="8:8" x14ac:dyDescent="0.3">
      <c r="H47" s="41"/>
    </row>
    <row r="48" spans="8:8" x14ac:dyDescent="0.3">
      <c r="H48" s="41"/>
    </row>
    <row r="49" spans="8:8" x14ac:dyDescent="0.3">
      <c r="H49" s="41"/>
    </row>
    <row r="50" spans="8:8" x14ac:dyDescent="0.3">
      <c r="H50" s="41"/>
    </row>
    <row r="51" spans="8:8" x14ac:dyDescent="0.3">
      <c r="H51" s="41"/>
    </row>
    <row r="52" spans="8:8" x14ac:dyDescent="0.3">
      <c r="H52" s="41"/>
    </row>
    <row r="53" spans="8:8" x14ac:dyDescent="0.3">
      <c r="H53" s="41"/>
    </row>
    <row r="54" spans="8:8" x14ac:dyDescent="0.3">
      <c r="H54" s="41"/>
    </row>
    <row r="55" spans="8:8" x14ac:dyDescent="0.3">
      <c r="H55" s="41"/>
    </row>
    <row r="56" spans="8:8" x14ac:dyDescent="0.3">
      <c r="H56" s="41"/>
    </row>
    <row r="57" spans="8:8" x14ac:dyDescent="0.3">
      <c r="H57" s="41"/>
    </row>
    <row r="58" spans="8:8" x14ac:dyDescent="0.3">
      <c r="H58" s="41"/>
    </row>
    <row r="59" spans="8:8" x14ac:dyDescent="0.3">
      <c r="H59" s="41"/>
    </row>
    <row r="60" spans="8:8" x14ac:dyDescent="0.3">
      <c r="H60" s="41"/>
    </row>
    <row r="61" spans="8:8" x14ac:dyDescent="0.3">
      <c r="H61" s="41"/>
    </row>
    <row r="62" spans="8:8" x14ac:dyDescent="0.3">
      <c r="H62" s="41"/>
    </row>
    <row r="63" spans="8:8" x14ac:dyDescent="0.3">
      <c r="H63" s="41"/>
    </row>
    <row r="64" spans="8:8" x14ac:dyDescent="0.3">
      <c r="H64" s="41"/>
    </row>
    <row r="65" spans="8:8" x14ac:dyDescent="0.3">
      <c r="H65" s="41"/>
    </row>
    <row r="66" spans="8:8" x14ac:dyDescent="0.3">
      <c r="H66" s="41"/>
    </row>
    <row r="67" spans="8:8" x14ac:dyDescent="0.3">
      <c r="H67" s="41"/>
    </row>
    <row r="68" spans="8:8" x14ac:dyDescent="0.3">
      <c r="H68" s="41"/>
    </row>
    <row r="69" spans="8:8" x14ac:dyDescent="0.3">
      <c r="H69" s="41"/>
    </row>
    <row r="70" spans="8:8" x14ac:dyDescent="0.3">
      <c r="H70" s="41"/>
    </row>
    <row r="71" spans="8:8" x14ac:dyDescent="0.3">
      <c r="H71" s="41"/>
    </row>
    <row r="72" spans="8:8" x14ac:dyDescent="0.3">
      <c r="H72" s="41"/>
    </row>
    <row r="73" spans="8:8" x14ac:dyDescent="0.3">
      <c r="H73" s="41"/>
    </row>
    <row r="74" spans="8:8" x14ac:dyDescent="0.3">
      <c r="H74" s="41"/>
    </row>
    <row r="75" spans="8:8" x14ac:dyDescent="0.3">
      <c r="H75" s="41"/>
    </row>
    <row r="76" spans="8:8" x14ac:dyDescent="0.3">
      <c r="H76" s="41"/>
    </row>
  </sheetData>
  <sheetProtection algorithmName="SHA-512" hashValue="K+XCV9z8XjhEYOAwqVSPD1q0yUBL5C6FA5Dkw8EksW9NVhUp2Wv4IV538tl97+drtpjfYZh0IZjpfxZq+xjI2Q==" saltValue="Nye+XCSYeHLOd8E6YK/Uxg==" spinCount="100000" sheet="1" selectLockedCells="1" selectUnlockedCells="1"/>
  <mergeCells count="5">
    <mergeCell ref="A3:B3"/>
    <mergeCell ref="B4:C4"/>
    <mergeCell ref="D4:D5"/>
    <mergeCell ref="E4:E5"/>
    <mergeCell ref="F4:F5"/>
  </mergeCells>
  <pageMargins left="0.7" right="0.7" top="0.78740157499999996" bottom="0.78740157499999996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867A-22EB-4F53-AF51-7D5DD7B560D1}">
  <sheetPr>
    <pageSetUpPr fitToPage="1"/>
  </sheetPr>
  <dimension ref="A1:E7"/>
  <sheetViews>
    <sheetView zoomScaleNormal="100" workbookViewId="0">
      <selection activeCell="E7" sqref="E7"/>
    </sheetView>
  </sheetViews>
  <sheetFormatPr baseColWidth="10" defaultRowHeight="14.4" x14ac:dyDescent="0.3"/>
  <cols>
    <col min="1" max="1" width="20.6640625" customWidth="1"/>
    <col min="2" max="2" width="19.5546875" customWidth="1"/>
    <col min="3" max="5" width="18.6640625" customWidth="1"/>
  </cols>
  <sheetData>
    <row r="1" spans="1:5" x14ac:dyDescent="0.3">
      <c r="A1" s="43" t="s">
        <v>17</v>
      </c>
      <c r="B1" s="42" t="s">
        <v>18</v>
      </c>
      <c r="E1" s="44">
        <v>2021</v>
      </c>
    </row>
    <row r="3" spans="1:5" x14ac:dyDescent="0.3">
      <c r="A3" s="43" t="s">
        <v>19</v>
      </c>
      <c r="B3" s="45" t="s">
        <v>20</v>
      </c>
      <c r="C3" s="45" t="s">
        <v>21</v>
      </c>
      <c r="D3" s="45" t="s">
        <v>22</v>
      </c>
      <c r="E3" s="45" t="s">
        <v>23</v>
      </c>
    </row>
    <row r="4" spans="1:5" x14ac:dyDescent="0.3">
      <c r="A4" s="43" t="s">
        <v>24</v>
      </c>
      <c r="B4" s="46">
        <f>SUMIFS([1]!Kleinschadentabelle[Schadenhöhe (bereinigt)],[1]!Kleinschadentabelle[Schadenart (bereinigt)],Tabelle_Jahresblatt_2021[[#This Row],[Ursache]],[1]!Kleinschadentabelle[Jahr],$E$1)+SUMIFS([1]!Großschadentabelle[Schadenzahlung abzgl. Regress],[1]!Großschadentabelle[Schadenart],Tabelle_Jahresblatt_2021[[#This Row],[Ursache]],[1]!Großschadentabelle[Jahr],$E$1)</f>
        <v>9727.6400000000012</v>
      </c>
      <c r="C4" s="47">
        <f>SUMIFS([1]!Großschadentabelle[Schaden-
reserve],[1]!Großschadentabelle[Schadenart],Tabelle_Jahresblatt_2021[[#This Row],[Ursache]],[1]!Großschadentabelle[Jahr],$E$1)</f>
        <v>0</v>
      </c>
      <c r="D4" s="47">
        <f>SUMIFS([1]!Kleinschadentabelle[Schadenhöhe (bereinigt)],[1]!Kleinschadentabelle[Schadenart (bereinigt)],Tabelle_Jahresblatt_2021[[#This Row],[Ursache]],[1]!Kleinschadentabelle[Jahr],$E$1)+SUMIFS([1]!Großschadentabelle[Gesamt-
Schaden],[1]!Großschadentabelle[Schadenart],Tabelle_Jahresblatt_2021[[#This Row],[Ursache]],[1]!Großschadentabelle[Jahr],$E$1)</f>
        <v>9727.6400000000012</v>
      </c>
      <c r="E4" s="45">
        <f>SUMIFS([1]!Kleinschadentabelle[Schadenzähler],[1]!Kleinschadentabelle[Schadenart (bereinigt)],Tabelle_Jahresblatt_2021[[#This Row],[Ursache]],[1]!Kleinschadentabelle[Jahr],$E$1)+SUMIFS([1]!Großschadentabelle[Anzahl],[1]!Großschadentabelle[Schadenart],Tabelle_Jahresblatt_2021[[#This Row],[Ursache]],[1]!Großschadentabelle[Jahr],$E$1)</f>
        <v>19</v>
      </c>
    </row>
    <row r="5" spans="1:5" x14ac:dyDescent="0.3">
      <c r="A5" s="43" t="s">
        <v>25</v>
      </c>
      <c r="B5" s="47">
        <f>SUMIFS([1]!Kleinschadentabelle[Schadenhöhe (bereinigt)],[1]!Kleinschadentabelle[Schadenart (bereinigt)],Tabelle_Jahresblatt_2021[[#This Row],[Ursache]],[1]!Kleinschadentabelle[Jahr],$E$1)+SUMIFS([1]!Großschadentabelle[Schadenzahlung abzgl. Regress],[1]!Großschadentabelle[Schadenart],Tabelle_Jahresblatt_2021[[#This Row],[Ursache]],[1]!Großschadentabelle[Jahr],$E$1)</f>
        <v>8214.92</v>
      </c>
      <c r="C5" s="47">
        <f>SUMIFS([1]!Großschadentabelle[Schaden-
reserve],[1]!Großschadentabelle[Schadenart],Tabelle_Jahresblatt_2021[[#This Row],[Ursache]],[1]!Großschadentabelle[Jahr],$E$1)</f>
        <v>0</v>
      </c>
      <c r="D5" s="47">
        <f>SUMIFS([1]!Kleinschadentabelle[Schadenhöhe (bereinigt)],[1]!Kleinschadentabelle[Schadenart (bereinigt)],Tabelle_Jahresblatt_2021[[#This Row],[Ursache]],[1]!Kleinschadentabelle[Jahr],$E$1)+SUMIFS([1]!Großschadentabelle[Gesamt-
Schaden],[1]!Großschadentabelle[Schadenart],Tabelle_Jahresblatt_2021[[#This Row],[Ursache]],[1]!Großschadentabelle[Jahr],$E$1)</f>
        <v>8214.92</v>
      </c>
      <c r="E5" s="45">
        <f>SUMIFS([1]!Kleinschadentabelle[Schadenzähler],[1]!Kleinschadentabelle[Schadenart (bereinigt)],Tabelle_Jahresblatt_2021[[#This Row],[Ursache]],[1]!Kleinschadentabelle[Jahr],$E$1)+SUMIFS([1]!Großschadentabelle[Anzahl],[1]!Großschadentabelle[Schadenart],Tabelle_Jahresblatt_2021[[#This Row],[Ursache]],[1]!Großschadentabelle[Jahr],$E$1)</f>
        <v>11</v>
      </c>
    </row>
    <row r="6" spans="1:5" x14ac:dyDescent="0.3">
      <c r="A6" s="43" t="s">
        <v>26</v>
      </c>
      <c r="B6" s="47">
        <f>SUMIFS([1]!Kleinschadentabelle[Schadenhöhe (bereinigt)],[1]!Kleinschadentabelle[Schadenart (bereinigt)],Tabelle_Jahresblatt_2021[[#This Row],[Ursache]],[1]!Kleinschadentabelle[Jahr],$E$1)+SUMIFS([1]!Großschadentabelle[Schadenzahlung abzgl. Regress],[1]!Großschadentabelle[Schadenart],Tabelle_Jahresblatt_2021[[#This Row],[Ursache]],[1]!Großschadentabelle[Jahr],$E$1)</f>
        <v>0</v>
      </c>
      <c r="C6" s="47">
        <f>SUMIFS([1]!Großschadentabelle[Schaden-
reserve],[1]!Großschadentabelle[Schadenart],Tabelle_Jahresblatt_2021[[#This Row],[Ursache]],[1]!Großschadentabelle[Jahr],$E$1)</f>
        <v>0</v>
      </c>
      <c r="D6" s="47">
        <f>SUMIFS([1]!Kleinschadentabelle[Schadenhöhe (bereinigt)],[1]!Kleinschadentabelle[Schadenart (bereinigt)],Tabelle_Jahresblatt_2021[[#This Row],[Ursache]],[1]!Kleinschadentabelle[Jahr],$E$1)+SUMIFS([1]!Großschadentabelle[Gesamt-
Schaden],[1]!Großschadentabelle[Schadenart],Tabelle_Jahresblatt_2021[[#This Row],[Ursache]],[1]!Großschadentabelle[Jahr],$E$1)</f>
        <v>0</v>
      </c>
      <c r="E6" s="45">
        <f>SUMIFS([1]!Kleinschadentabelle[Schadenzähler],[1]!Kleinschadentabelle[Schadenart (bereinigt)],Tabelle_Jahresblatt_2021[[#This Row],[Ursache]],[1]!Kleinschadentabelle[Jahr],$E$1)+SUMIFS([1]!Großschadentabelle[Anzahl],[1]!Großschadentabelle[Schadenart],Tabelle_Jahresblatt_2021[[#This Row],[Ursache]],[1]!Großschadentabelle[Jahr],$E$1)</f>
        <v>0</v>
      </c>
    </row>
    <row r="7" spans="1:5" x14ac:dyDescent="0.3">
      <c r="A7" s="43" t="s">
        <v>27</v>
      </c>
      <c r="B7" s="47">
        <f>SUBTOTAL(109,Tabelle_Jahresblatt_2021[Schadenzahlungen])</f>
        <v>17942.560000000001</v>
      </c>
      <c r="C7" s="47">
        <f>SUBTOTAL(109,Tabelle_Jahresblatt_2021[Schadenreserven])</f>
        <v>0</v>
      </c>
      <c r="D7" s="47">
        <f>SUBTOTAL(109,Tabelle_Jahresblatt_2021[Gesamtaufwand])</f>
        <v>17942.560000000001</v>
      </c>
      <c r="E7" s="45">
        <f>SUBTOTAL(109,Tabelle_Jahresblatt_2021[Anzahl])</f>
        <v>30</v>
      </c>
    </row>
  </sheetData>
  <sheetProtection algorithmName="SHA-512" hashValue="WJk2zMqTDOao8vfwZK8LntYVYzwdohBKQxtpk08Q84oE9cm3DP0wl87z/eMVqK+jgOlq4hvQUFFzzMsbnwdB7Q==" saltValue="nCzeEmm38kTXiWxPe4LmWw==" spinCount="100000" sheet="1" objects="1" scenarios="1"/>
  <pageMargins left="0.7" right="0.7" top="0.78740157499999996" bottom="0.78740157499999996" header="0.3" footer="0.3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2E6D-04B5-448F-860B-FD2AA96B775E}">
  <sheetPr>
    <pageSetUpPr fitToPage="1"/>
  </sheetPr>
  <dimension ref="A1:E7"/>
  <sheetViews>
    <sheetView zoomScaleNormal="100" workbookViewId="0">
      <selection activeCell="H9" sqref="H9"/>
    </sheetView>
  </sheetViews>
  <sheetFormatPr baseColWidth="10" defaultRowHeight="14.4" x14ac:dyDescent="0.3"/>
  <cols>
    <col min="1" max="1" width="20.6640625" customWidth="1"/>
    <col min="2" max="2" width="19.5546875" customWidth="1"/>
    <col min="3" max="5" width="18.6640625" customWidth="1"/>
  </cols>
  <sheetData>
    <row r="1" spans="1:5" x14ac:dyDescent="0.3">
      <c r="A1" s="43" t="s">
        <v>17</v>
      </c>
      <c r="B1" s="43" t="s">
        <v>28</v>
      </c>
      <c r="E1" s="44">
        <v>2022</v>
      </c>
    </row>
    <row r="3" spans="1:5" x14ac:dyDescent="0.3">
      <c r="A3" s="43" t="s">
        <v>19</v>
      </c>
      <c r="B3" s="45" t="s">
        <v>20</v>
      </c>
      <c r="C3" s="45" t="s">
        <v>21</v>
      </c>
      <c r="D3" s="45" t="s">
        <v>22</v>
      </c>
      <c r="E3" s="45" t="s">
        <v>23</v>
      </c>
    </row>
    <row r="4" spans="1:5" x14ac:dyDescent="0.3">
      <c r="A4" s="43" t="s">
        <v>24</v>
      </c>
      <c r="B4" s="46">
        <f>SUMIFS([1]!Kleinschadentabelle[Schadenhöhe (bereinigt)],[1]!Kleinschadentabelle[Schadenart (bereinigt)],Tabelle_Jahresblatt_2022[[#This Row],[Ursache]],[1]!Kleinschadentabelle[Jahr],$E$1)+SUMIFS([1]!Großschadentabelle[Schadenzahlung abzgl. Regress],[1]!Großschadentabelle[Schadenart],Tabelle_Jahresblatt_2022[[#This Row],[Ursache]],[1]!Großschadentabelle[Jahr],$E$1)</f>
        <v>6993.35</v>
      </c>
      <c r="C4" s="47">
        <f>SUMIFS([1]!Großschadentabelle[Schaden-
reserve],[1]!Großschadentabelle[Schadenart],Tabelle_Jahresblatt_2022[[#This Row],[Ursache]],[1]!Großschadentabelle[Jahr],$E$1)</f>
        <v>50000</v>
      </c>
      <c r="D4" s="47">
        <f>SUMIFS([1]!Kleinschadentabelle[Schadenhöhe (bereinigt)],[1]!Kleinschadentabelle[Schadenart (bereinigt)],Tabelle_Jahresblatt_2022[[#This Row],[Ursache]],[1]!Kleinschadentabelle[Jahr],$E$1)+SUMIFS([1]!Großschadentabelle[Gesamt-
Schaden],[1]!Großschadentabelle[Schadenart],Tabelle_Jahresblatt_2022[[#This Row],[Ursache]],[1]!Großschadentabelle[Jahr],$E$1)</f>
        <v>56993.35</v>
      </c>
      <c r="E4" s="45">
        <f>SUMIFS([1]!Kleinschadentabelle[Schadenzähler],[1]!Kleinschadentabelle[Schadenart (bereinigt)],Tabelle_Jahresblatt_2022[[#This Row],[Ursache]],[1]!Kleinschadentabelle[Jahr],$E$1)+SUMIFS([1]!Großschadentabelle[Anzahl],[1]!Großschadentabelle[Schadenart],Tabelle_Jahresblatt_2022[[#This Row],[Ursache]],[1]!Großschadentabelle[Jahr],$E$1)</f>
        <v>17</v>
      </c>
    </row>
    <row r="5" spans="1:5" x14ac:dyDescent="0.3">
      <c r="A5" s="43" t="s">
        <v>25</v>
      </c>
      <c r="B5" s="47">
        <f>SUMIFS([1]!Kleinschadentabelle[Schadenhöhe (bereinigt)],[1]!Kleinschadentabelle[Schadenart (bereinigt)],Tabelle_Jahresblatt_2022[[#This Row],[Ursache]],[1]!Kleinschadentabelle[Jahr],$E$1)+SUMIFS([1]!Großschadentabelle[Schadenzahlung abzgl. Regress],[1]!Großschadentabelle[Schadenart],Tabelle_Jahresblatt_2022[[#This Row],[Ursache]],[1]!Großschadentabelle[Jahr],$E$1)</f>
        <v>12832.439999999999</v>
      </c>
      <c r="C5" s="47">
        <f>SUMIFS([1]!Großschadentabelle[Schaden-
reserve],[1]!Großschadentabelle[Schadenart],Tabelle_Jahresblatt_2022[[#This Row],[Ursache]],[1]!Großschadentabelle[Jahr],$E$1)</f>
        <v>0</v>
      </c>
      <c r="D5" s="47">
        <f>SUMIFS([1]!Kleinschadentabelle[Schadenhöhe (bereinigt)],[1]!Kleinschadentabelle[Schadenart (bereinigt)],Tabelle_Jahresblatt_2022[[#This Row],[Ursache]],[1]!Kleinschadentabelle[Jahr],$E$1)+SUMIFS([1]!Großschadentabelle[Gesamt-
Schaden],[1]!Großschadentabelle[Schadenart],Tabelle_Jahresblatt_2022[[#This Row],[Ursache]],[1]!Großschadentabelle[Jahr],$E$1)</f>
        <v>12832.439999999999</v>
      </c>
      <c r="E5" s="45">
        <f>SUMIFS([1]!Kleinschadentabelle[Schadenzähler],[1]!Kleinschadentabelle[Schadenart (bereinigt)],Tabelle_Jahresblatt_2022[[#This Row],[Ursache]],[1]!Kleinschadentabelle[Jahr],$E$1)+SUMIFS([1]!Großschadentabelle[Anzahl],[1]!Großschadentabelle[Schadenart],Tabelle_Jahresblatt_2022[[#This Row],[Ursache]],[1]!Großschadentabelle[Jahr],$E$1)</f>
        <v>5</v>
      </c>
    </row>
    <row r="6" spans="1:5" x14ac:dyDescent="0.3">
      <c r="A6" s="43" t="s">
        <v>26</v>
      </c>
      <c r="B6" s="47">
        <f>SUMIFS([1]!Kleinschadentabelle[Schadenhöhe (bereinigt)],[1]!Kleinschadentabelle[Schadenart (bereinigt)],Tabelle_Jahresblatt_2022[[#This Row],[Ursache]],[1]!Kleinschadentabelle[Jahr],$E$1)+SUMIFS([1]!Großschadentabelle[Schadenzahlung abzgl. Regress],[1]!Großschadentabelle[Schadenart],Tabelle_Jahresblatt_2022[[#This Row],[Ursache]],[1]!Großschadentabelle[Jahr],$E$1)</f>
        <v>0</v>
      </c>
      <c r="C6" s="47">
        <f>SUMIFS([1]!Großschadentabelle[Schaden-
reserve],[1]!Großschadentabelle[Schadenart],Tabelle_Jahresblatt_2022[[#This Row],[Ursache]],[1]!Großschadentabelle[Jahr],$E$1)</f>
        <v>0</v>
      </c>
      <c r="D6" s="47">
        <f>SUMIFS([1]!Kleinschadentabelle[Schadenhöhe (bereinigt)],[1]!Kleinschadentabelle[Schadenart (bereinigt)],Tabelle_Jahresblatt_2022[[#This Row],[Ursache]],[1]!Kleinschadentabelle[Jahr],$E$1)+SUMIFS([1]!Großschadentabelle[Gesamt-
Schaden],[1]!Großschadentabelle[Schadenart],Tabelle_Jahresblatt_2022[[#This Row],[Ursache]],[1]!Großschadentabelle[Jahr],$E$1)</f>
        <v>0</v>
      </c>
      <c r="E6" s="45">
        <f>SUMIFS([1]!Kleinschadentabelle[Schadenzähler],[1]!Kleinschadentabelle[Schadenart (bereinigt)],Tabelle_Jahresblatt_2022[[#This Row],[Ursache]],[1]!Kleinschadentabelle[Jahr],$E$1)+SUMIFS([1]!Großschadentabelle[Anzahl],[1]!Großschadentabelle[Schadenart],Tabelle_Jahresblatt_2022[[#This Row],[Ursache]],[1]!Großschadentabelle[Jahr],$E$1)</f>
        <v>0</v>
      </c>
    </row>
    <row r="7" spans="1:5" x14ac:dyDescent="0.3">
      <c r="A7" s="43" t="s">
        <v>27</v>
      </c>
      <c r="B7" s="47">
        <f>SUBTOTAL(109,Tabelle_Jahresblatt_2022[Schadenzahlungen])</f>
        <v>19825.79</v>
      </c>
      <c r="C7" s="47">
        <f>SUBTOTAL(109,Tabelle_Jahresblatt_2022[Schadenreserven])</f>
        <v>50000</v>
      </c>
      <c r="D7" s="47">
        <f>SUBTOTAL(109,Tabelle_Jahresblatt_2022[Gesamtaufwand])</f>
        <v>69825.789999999994</v>
      </c>
      <c r="E7" s="45">
        <f>SUBTOTAL(109,Tabelle_Jahresblatt_2022[Anzahl])</f>
        <v>22</v>
      </c>
    </row>
  </sheetData>
  <sheetProtection algorithmName="SHA-512" hashValue="Xgkzigt5I1+OGCjKQl7mNYnkpzOtNVmJIZUizGrqzRD4NC7nT3qTJy3L9KaR2aodM01hGiIQB2hCqjEorJdJLQ==" saltValue="2ex1P+uwwXFiXTqW9StAtg==" spinCount="100000" sheet="1" objects="1" scenarios="1"/>
  <pageMargins left="0.7" right="0.7" top="0.78740157499999996" bottom="0.78740157499999996" header="0.3" footer="0.3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50ECE-3A9B-48E3-AE3D-C8647875DD6D}">
  <sheetPr>
    <pageSetUpPr fitToPage="1"/>
  </sheetPr>
  <dimension ref="A1:E7"/>
  <sheetViews>
    <sheetView zoomScaleNormal="100" workbookViewId="0">
      <selection activeCell="H9" sqref="H9"/>
    </sheetView>
  </sheetViews>
  <sheetFormatPr baseColWidth="10" defaultRowHeight="14.4" x14ac:dyDescent="0.3"/>
  <cols>
    <col min="1" max="1" width="20.6640625" customWidth="1"/>
    <col min="2" max="2" width="19.5546875" customWidth="1"/>
    <col min="3" max="5" width="18.6640625" customWidth="1"/>
  </cols>
  <sheetData>
    <row r="1" spans="1:5" x14ac:dyDescent="0.3">
      <c r="A1" s="43" t="s">
        <v>17</v>
      </c>
      <c r="B1" s="43" t="s">
        <v>29</v>
      </c>
      <c r="E1" s="44">
        <v>2023</v>
      </c>
    </row>
    <row r="3" spans="1:5" x14ac:dyDescent="0.3">
      <c r="A3" s="43" t="s">
        <v>19</v>
      </c>
      <c r="B3" s="45" t="s">
        <v>20</v>
      </c>
      <c r="C3" s="45" t="s">
        <v>21</v>
      </c>
      <c r="D3" s="45" t="s">
        <v>22</v>
      </c>
      <c r="E3" s="45" t="s">
        <v>23</v>
      </c>
    </row>
    <row r="4" spans="1:5" x14ac:dyDescent="0.3">
      <c r="A4" s="43" t="s">
        <v>24</v>
      </c>
      <c r="B4" s="46">
        <f>SUMIFS([1]!Kleinschadentabelle[Schadenhöhe (bereinigt)],[1]!Kleinschadentabelle[Schadenart (bereinigt)],Tabelle_Jahresblatt_2023[[#This Row],[Ursache]],[1]!Kleinschadentabelle[Jahr],$E$1)+SUMIFS([1]!Großschadentabelle[Schadenzahlung abzgl. Regress],[1]!Großschadentabelle[Schadenart],Tabelle_Jahresblatt_2023[[#This Row],[Ursache]],[1]!Großschadentabelle[Jahr],$E$1)</f>
        <v>30663.72</v>
      </c>
      <c r="C4" s="47">
        <f>SUMIFS([1]!Großschadentabelle[Schaden-
reserve],[1]!Großschadentabelle[Schadenart],Tabelle_Jahresblatt_2023[[#This Row],[Ursache]],[1]!Großschadentabelle[Jahr],$E$1)</f>
        <v>2300</v>
      </c>
      <c r="D4" s="47">
        <f>SUMIFS([1]!Kleinschadentabelle[Schadenhöhe (bereinigt)],[1]!Kleinschadentabelle[Schadenart (bereinigt)],Tabelle_Jahresblatt_2023[[#This Row],[Ursache]],[1]!Kleinschadentabelle[Jahr],$E$1)+SUMIFS([1]!Großschadentabelle[Gesamt-
Schaden],[1]!Großschadentabelle[Schadenart],Tabelle_Jahresblatt_2023[[#This Row],[Ursache]],[1]!Großschadentabelle[Jahr],$E$1)</f>
        <v>32963.72</v>
      </c>
      <c r="E4" s="45">
        <f>SUMIFS([1]!Kleinschadentabelle[Schadenzähler],[1]!Kleinschadentabelle[Schadenart (bereinigt)],Tabelle_Jahresblatt_2023[[#This Row],[Ursache]],[1]!Kleinschadentabelle[Jahr],$E$1)+SUMIFS([1]!Großschadentabelle[Anzahl],[1]!Großschadentabelle[Schadenart],Tabelle_Jahresblatt_2023[[#This Row],[Ursache]],[1]!Großschadentabelle[Jahr],$E$1)</f>
        <v>19</v>
      </c>
    </row>
    <row r="5" spans="1:5" x14ac:dyDescent="0.3">
      <c r="A5" s="43" t="s">
        <v>25</v>
      </c>
      <c r="B5" s="47">
        <f>SUMIFS([1]!Kleinschadentabelle[Schadenhöhe (bereinigt)],[1]!Kleinschadentabelle[Schadenart (bereinigt)],Tabelle_Jahresblatt_2023[[#This Row],[Ursache]],[1]!Kleinschadentabelle[Jahr],$E$1)+SUMIFS([1]!Großschadentabelle[Schadenzahlung abzgl. Regress],[1]!Großschadentabelle[Schadenart],Tabelle_Jahresblatt_2023[[#This Row],[Ursache]],[1]!Großschadentabelle[Jahr],$E$1)</f>
        <v>14371.8</v>
      </c>
      <c r="C5" s="47">
        <f>SUMIFS([1]!Großschadentabelle[Schaden-
reserve],[1]!Großschadentabelle[Schadenart],Tabelle_Jahresblatt_2023[[#This Row],[Ursache]],[1]!Großschadentabelle[Jahr],$E$1)</f>
        <v>26200</v>
      </c>
      <c r="D5" s="47">
        <f>SUMIFS([1]!Kleinschadentabelle[Schadenhöhe (bereinigt)],[1]!Kleinschadentabelle[Schadenart (bereinigt)],Tabelle_Jahresblatt_2023[[#This Row],[Ursache]],[1]!Kleinschadentabelle[Jahr],$E$1)+SUMIFS([1]!Großschadentabelle[Gesamt-
Schaden],[1]!Großschadentabelle[Schadenart],Tabelle_Jahresblatt_2023[[#This Row],[Ursache]],[1]!Großschadentabelle[Jahr],$E$1)</f>
        <v>40571.800000000003</v>
      </c>
      <c r="E5" s="45">
        <f>SUMIFS([1]!Kleinschadentabelle[Schadenzähler],[1]!Kleinschadentabelle[Schadenart (bereinigt)],Tabelle_Jahresblatt_2023[[#This Row],[Ursache]],[1]!Kleinschadentabelle[Jahr],$E$1)+SUMIFS([1]!Großschadentabelle[Anzahl],[1]!Großschadentabelle[Schadenart],Tabelle_Jahresblatt_2023[[#This Row],[Ursache]],[1]!Großschadentabelle[Jahr],$E$1)</f>
        <v>12</v>
      </c>
    </row>
    <row r="6" spans="1:5" x14ac:dyDescent="0.3">
      <c r="A6" s="43" t="s">
        <v>26</v>
      </c>
      <c r="B6" s="47">
        <f>SUMIFS([1]!Kleinschadentabelle[Schadenhöhe (bereinigt)],[1]!Kleinschadentabelle[Schadenart (bereinigt)],Tabelle_Jahresblatt_2023[[#This Row],[Ursache]],[1]!Kleinschadentabelle[Jahr],$E$1)+SUMIFS([1]!Großschadentabelle[Schadenzahlung abzgl. Regress],[1]!Großschadentabelle[Schadenart],Tabelle_Jahresblatt_2023[[#This Row],[Ursache]],[1]!Großschadentabelle[Jahr],$E$1)</f>
        <v>0</v>
      </c>
      <c r="C6" s="47">
        <f>SUMIFS([1]!Großschadentabelle[Schaden-
reserve],[1]!Großschadentabelle[Schadenart],Tabelle_Jahresblatt_2023[[#This Row],[Ursache]],[1]!Großschadentabelle[Jahr],$E$1)</f>
        <v>0</v>
      </c>
      <c r="D6" s="47">
        <f>SUMIFS([1]!Kleinschadentabelle[Schadenhöhe (bereinigt)],[1]!Kleinschadentabelle[Schadenart (bereinigt)],Tabelle_Jahresblatt_2023[[#This Row],[Ursache]],[1]!Kleinschadentabelle[Jahr],$E$1)+SUMIFS([1]!Großschadentabelle[Gesamt-
Schaden],[1]!Großschadentabelle[Schadenart],Tabelle_Jahresblatt_2023[[#This Row],[Ursache]],[1]!Großschadentabelle[Jahr],$E$1)</f>
        <v>0</v>
      </c>
      <c r="E6" s="45">
        <f>SUMIFS([1]!Kleinschadentabelle[Schadenzähler],[1]!Kleinschadentabelle[Schadenart (bereinigt)],Tabelle_Jahresblatt_2023[[#This Row],[Ursache]],[1]!Kleinschadentabelle[Jahr],$E$1)+SUMIFS([1]!Großschadentabelle[Anzahl],[1]!Großschadentabelle[Schadenart],Tabelle_Jahresblatt_2023[[#This Row],[Ursache]],[1]!Großschadentabelle[Jahr],$E$1)</f>
        <v>0</v>
      </c>
    </row>
    <row r="7" spans="1:5" x14ac:dyDescent="0.3">
      <c r="A7" s="43" t="s">
        <v>27</v>
      </c>
      <c r="B7" s="47">
        <f>SUBTOTAL(109,Tabelle_Jahresblatt_2023[Schadenzahlungen])</f>
        <v>45035.520000000004</v>
      </c>
      <c r="C7" s="47">
        <f>SUBTOTAL(109,Tabelle_Jahresblatt_2023[Schadenreserven])</f>
        <v>28500</v>
      </c>
      <c r="D7" s="47">
        <f>SUBTOTAL(109,Tabelle_Jahresblatt_2023[Gesamtaufwand])</f>
        <v>73535.520000000004</v>
      </c>
      <c r="E7" s="45">
        <f>SUBTOTAL(109,Tabelle_Jahresblatt_2023[Anzahl])</f>
        <v>31</v>
      </c>
    </row>
  </sheetData>
  <sheetProtection algorithmName="SHA-512" hashValue="xvu6QQodA+EzCt0Af8iluaSYz1AXHO3MkUha4In640mxOo21rh2+VUFkx0GAE6yr+A28yOvepkKL+oQtmpPIHw==" saltValue="AwoJtwjG1pGQLU+JETvy4g==" spinCount="100000" sheet="1" objects="1" scenarios="1"/>
  <pageMargins left="0.7" right="0.7" top="0.78740157499999996" bottom="0.78740157499999996" header="0.3" footer="0.3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4BFB-FBA1-4079-887B-7888BC406137}">
  <sheetPr>
    <pageSetUpPr fitToPage="1"/>
  </sheetPr>
  <dimension ref="A1:E7"/>
  <sheetViews>
    <sheetView zoomScaleNormal="100" workbookViewId="0">
      <selection activeCell="H9" sqref="H9"/>
    </sheetView>
  </sheetViews>
  <sheetFormatPr baseColWidth="10" defaultRowHeight="14.4" x14ac:dyDescent="0.3"/>
  <cols>
    <col min="1" max="1" width="20.6640625" customWidth="1"/>
    <col min="2" max="2" width="19.5546875" customWidth="1"/>
    <col min="3" max="5" width="18.6640625" customWidth="1"/>
  </cols>
  <sheetData>
    <row r="1" spans="1:5" x14ac:dyDescent="0.3">
      <c r="A1" s="43" t="s">
        <v>17</v>
      </c>
      <c r="B1" s="42" t="s">
        <v>30</v>
      </c>
      <c r="E1" s="44">
        <v>2024</v>
      </c>
    </row>
    <row r="3" spans="1:5" x14ac:dyDescent="0.3">
      <c r="A3" s="43" t="s">
        <v>19</v>
      </c>
      <c r="B3" s="45" t="s">
        <v>20</v>
      </c>
      <c r="C3" s="45" t="s">
        <v>21</v>
      </c>
      <c r="D3" s="45" t="s">
        <v>22</v>
      </c>
      <c r="E3" s="45" t="s">
        <v>23</v>
      </c>
    </row>
    <row r="4" spans="1:5" x14ac:dyDescent="0.3">
      <c r="A4" s="43" t="s">
        <v>24</v>
      </c>
      <c r="B4" s="46">
        <f>SUMIFS([1]!Kleinschadentabelle[Schadenhöhe (bereinigt)],[1]!Kleinschadentabelle[Schadenart (bereinigt)],Tabelle_Jahresblatt_2024[[#This Row],[Ursache]],[1]!Kleinschadentabelle[Jahr],$E$1)+SUMIFS([1]!Großschadentabelle[Schadenzahlung abzgl. Regress],[1]!Großschadentabelle[Schadenart],Tabelle_Jahresblatt_2024[[#This Row],[Ursache]],[1]!Großschadentabelle[Jahr],$E$1)</f>
        <v>4016.2299999999996</v>
      </c>
      <c r="C4" s="47">
        <f>SUMIFS([1]!Großschadentabelle[Schaden-
reserve],[1]!Großschadentabelle[Schadenart],Tabelle_Jahresblatt_2024[[#This Row],[Ursache]],[1]!Großschadentabelle[Jahr],$E$1)</f>
        <v>0</v>
      </c>
      <c r="D4" s="47">
        <f>SUMIFS([1]!Kleinschadentabelle[Schadenhöhe (bereinigt)],[1]!Kleinschadentabelle[Schadenart (bereinigt)],Tabelle_Jahresblatt_2024[[#This Row],[Ursache]],[1]!Kleinschadentabelle[Jahr],$E$1)+SUMIFS([1]!Großschadentabelle[Gesamt-
Schaden],[1]!Großschadentabelle[Schadenart],Tabelle_Jahresblatt_2024[[#This Row],[Ursache]],[1]!Großschadentabelle[Jahr],$E$1)</f>
        <v>4016.2299999999996</v>
      </c>
      <c r="E4" s="45">
        <f>SUMIFS([1]!Kleinschadentabelle[Schadenzähler],[1]!Kleinschadentabelle[Schadenart (bereinigt)],Tabelle_Jahresblatt_2024[[#This Row],[Ursache]],[1]!Kleinschadentabelle[Jahr],$E$1)+SUMIFS([1]!Großschadentabelle[Anzahl],[1]!Großschadentabelle[Schadenart],Tabelle_Jahresblatt_2024[[#This Row],[Ursache]],[1]!Großschadentabelle[Jahr],$E$1)</f>
        <v>10</v>
      </c>
    </row>
    <row r="5" spans="1:5" x14ac:dyDescent="0.3">
      <c r="A5" s="43" t="s">
        <v>25</v>
      </c>
      <c r="B5" s="47">
        <f>SUMIFS([1]!Kleinschadentabelle[Schadenhöhe (bereinigt)],[1]!Kleinschadentabelle[Schadenart (bereinigt)],Tabelle_Jahresblatt_2024[[#This Row],[Ursache]],[1]!Kleinschadentabelle[Jahr],$E$1)+SUMIFS([1]!Großschadentabelle[Schadenzahlung abzgl. Regress],[1]!Großschadentabelle[Schadenart],Tabelle_Jahresblatt_2024[[#This Row],[Ursache]],[1]!Großschadentabelle[Jahr],$E$1)</f>
        <v>20222.650000000001</v>
      </c>
      <c r="C5" s="47">
        <f>SUMIFS([1]!Großschadentabelle[Schaden-
reserve],[1]!Großschadentabelle[Schadenart],Tabelle_Jahresblatt_2024[[#This Row],[Ursache]],[1]!Großschadentabelle[Jahr],$E$1)</f>
        <v>80376.19</v>
      </c>
      <c r="D5" s="47">
        <f>SUMIFS([1]!Kleinschadentabelle[Schadenhöhe (bereinigt)],[1]!Kleinschadentabelle[Schadenart (bereinigt)],Tabelle_Jahresblatt_2024[[#This Row],[Ursache]],[1]!Kleinschadentabelle[Jahr],$E$1)+SUMIFS([1]!Großschadentabelle[Gesamt-
Schaden],[1]!Großschadentabelle[Schadenart],Tabelle_Jahresblatt_2024[[#This Row],[Ursache]],[1]!Großschadentabelle[Jahr],$E$1)</f>
        <v>100598.84</v>
      </c>
      <c r="E5" s="45">
        <f>SUMIFS([1]!Kleinschadentabelle[Schadenzähler],[1]!Kleinschadentabelle[Schadenart (bereinigt)],Tabelle_Jahresblatt_2024[[#This Row],[Ursache]],[1]!Kleinschadentabelle[Jahr],$E$1)+SUMIFS([1]!Großschadentabelle[Anzahl],[1]!Großschadentabelle[Schadenart],Tabelle_Jahresblatt_2024[[#This Row],[Ursache]],[1]!Großschadentabelle[Jahr],$E$1)</f>
        <v>12</v>
      </c>
    </row>
    <row r="6" spans="1:5" x14ac:dyDescent="0.3">
      <c r="A6" s="43" t="s">
        <v>26</v>
      </c>
      <c r="B6" s="47">
        <f>SUMIFS([1]!Kleinschadentabelle[Schadenhöhe (bereinigt)],[1]!Kleinschadentabelle[Schadenart (bereinigt)],Tabelle_Jahresblatt_2024[[#This Row],[Ursache]],[1]!Kleinschadentabelle[Jahr],$E$1)+SUMIFS([1]!Großschadentabelle[Schadenzahlung abzgl. Regress],[1]!Großschadentabelle[Schadenart],Tabelle_Jahresblatt_2024[[#This Row],[Ursache]],[1]!Großschadentabelle[Jahr],$E$1)</f>
        <v>0</v>
      </c>
      <c r="C6" s="47">
        <f>SUMIFS([1]!Großschadentabelle[Schaden-
reserve],[1]!Großschadentabelle[Schadenart],Tabelle_Jahresblatt_2024[[#This Row],[Ursache]],[1]!Großschadentabelle[Jahr],$E$1)</f>
        <v>0</v>
      </c>
      <c r="D6" s="47">
        <f>SUMIFS([1]!Kleinschadentabelle[Schadenhöhe (bereinigt)],[1]!Kleinschadentabelle[Schadenart (bereinigt)],Tabelle_Jahresblatt_2024[[#This Row],[Ursache]],[1]!Kleinschadentabelle[Jahr],$E$1)+SUMIFS([1]!Großschadentabelle[Gesamt-
Schaden],[1]!Großschadentabelle[Schadenart],Tabelle_Jahresblatt_2024[[#This Row],[Ursache]],[1]!Großschadentabelle[Jahr],$E$1)</f>
        <v>0</v>
      </c>
      <c r="E6" s="45">
        <f>SUMIFS([1]!Kleinschadentabelle[Schadenzähler],[1]!Kleinschadentabelle[Schadenart (bereinigt)],Tabelle_Jahresblatt_2024[[#This Row],[Ursache]],[1]!Kleinschadentabelle[Jahr],$E$1)+SUMIFS([1]!Großschadentabelle[Anzahl],[1]!Großschadentabelle[Schadenart],Tabelle_Jahresblatt_2024[[#This Row],[Ursache]],[1]!Großschadentabelle[Jahr],$E$1)</f>
        <v>0</v>
      </c>
    </row>
    <row r="7" spans="1:5" x14ac:dyDescent="0.3">
      <c r="A7" s="43" t="s">
        <v>27</v>
      </c>
      <c r="B7" s="47">
        <f>SUBTOTAL(109,Tabelle_Jahresblatt_2024[Schadenzahlungen])</f>
        <v>24238.880000000001</v>
      </c>
      <c r="C7" s="47">
        <f>SUBTOTAL(109,Tabelle_Jahresblatt_2024[Schadenreserven])</f>
        <v>80376.19</v>
      </c>
      <c r="D7" s="47">
        <f>SUBTOTAL(109,Tabelle_Jahresblatt_2024[Gesamtaufwand])</f>
        <v>104615.06999999999</v>
      </c>
      <c r="E7" s="45">
        <f>SUBTOTAL(109,Tabelle_Jahresblatt_2024[Anzahl])</f>
        <v>22</v>
      </c>
    </row>
  </sheetData>
  <sheetProtection algorithmName="SHA-512" hashValue="q9A2lpfRr/RYsUX3OBxLZVB+FohfkdQydHzF+uHndH15fZTN1Glig/lkZAp8cRfDYSkt3AAhY1QEWgE0XdLnaQ==" saltValue="8r/08nqGrSzmNd7tUyUiPw==" spinCount="100000" sheet="1" objects="1" scenarios="1"/>
  <pageMargins left="0.7" right="0.7" top="0.78740157499999996" bottom="0.78740157499999996" header="0.3" footer="0.3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9319-F005-4F95-84B7-22D2C2D65C80}">
  <sheetPr>
    <pageSetUpPr fitToPage="1"/>
  </sheetPr>
  <dimension ref="A1:E7"/>
  <sheetViews>
    <sheetView zoomScaleNormal="100" workbookViewId="0">
      <selection activeCell="H9" sqref="H9"/>
    </sheetView>
  </sheetViews>
  <sheetFormatPr baseColWidth="10" defaultRowHeight="14.4" x14ac:dyDescent="0.3"/>
  <cols>
    <col min="1" max="1" width="20.6640625" customWidth="1"/>
    <col min="2" max="2" width="19.5546875" customWidth="1"/>
    <col min="3" max="5" width="18.6640625" customWidth="1"/>
  </cols>
  <sheetData>
    <row r="1" spans="1:5" x14ac:dyDescent="0.3">
      <c r="A1" s="43" t="s">
        <v>17</v>
      </c>
      <c r="B1" s="42" t="s">
        <v>31</v>
      </c>
      <c r="E1" s="44">
        <v>2025</v>
      </c>
    </row>
    <row r="3" spans="1:5" x14ac:dyDescent="0.3">
      <c r="A3" s="43" t="s">
        <v>19</v>
      </c>
      <c r="B3" s="45" t="s">
        <v>20</v>
      </c>
      <c r="C3" s="45" t="s">
        <v>21</v>
      </c>
      <c r="D3" s="45" t="s">
        <v>22</v>
      </c>
      <c r="E3" s="45" t="s">
        <v>23</v>
      </c>
    </row>
    <row r="4" spans="1:5" x14ac:dyDescent="0.3">
      <c r="A4" s="43" t="s">
        <v>24</v>
      </c>
      <c r="B4" s="46">
        <f>IF([1]Quotenblatt!$M$23="nein",SUMIFS([1]!Kleinschadentabelle[Schadenhöhe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Row],[Ursache]],[1]!Großschadentabelle[Jahr],$E$1,[1]!Großschadentabelle[Hausverwalter relevant?],"ja")))</f>
        <v>14594.119999999999</v>
      </c>
      <c r="C4" s="47">
        <f>IF([1]Quotenblatt!$M$23="nein",SUMIFS([1]!Großschadentabelle[Schaden-
reserve],[1]!Großschadentabelle[Schadenart],Tabelle_Jahresblatt_2025[[#This Row],[Ursache]],[1]!Großschadentabelle[Jahr],$E$1),IF([1]Quotenblatt!$M$23="ja",SUMIFS([1]!Großschadentabelle[Schaden-
reserve],[1]!Großschadentabelle[Schadenart],Tabelle_Jahresblatt_2025[[#This Row],[Ursache]],[1]!Großschadentabelle[Jahr],$E$1, [1]!Großschadentabelle[Hausverwalter relevant?],"ja")))</f>
        <v>0</v>
      </c>
      <c r="D4" s="47">
        <f>IF([1]Quotenblatt!$M$23="nein",SUMIFS([1]!Kleinschadentabelle[Schadenhöhe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Row],[Ursache]],[1]!Großschadentabelle[Jahr],$E$1,[1]!Großschadentabelle[Hausverwalter relevant?],"ja")))</f>
        <v>14594.119999999999</v>
      </c>
      <c r="E4" s="45">
        <f>IF([1]Quotenblatt!$M$23="nein",SUMIFS([1]!Kleinschadentabelle[Schadenzähler],[1]!Kleinschadentabelle[Schadenart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Row],[Ursache]],[1]!Großschadentabelle[Jahr],$E$1),IF([1]Quotenblatt!$M$23="ja",SUMIFS([1]!Kleinschadentabelle[Schadenzähler],[1]!Kleinschadentabelle[Schadenart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Row],[Ursache]],[1]!Großschadentabelle[Jahr],$E$1,[1]!Großschadentabelle[Hausverwalter relevant?],"ja")))</f>
        <v>8</v>
      </c>
    </row>
    <row r="5" spans="1:5" x14ac:dyDescent="0.3">
      <c r="A5" s="43" t="s">
        <v>25</v>
      </c>
      <c r="B5" s="47">
        <f>IF([1]Quotenblatt!$M$23="nein",SUMIFS([1]!Kleinschadentabelle[Schadenhöhe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Row],[Ursache]],[1]!Großschadentabelle[Jahr],$E$1,[1]!Großschadentabelle[Hausverwalter relevant?],"ja")))</f>
        <v>9852.0299999999988</v>
      </c>
      <c r="C5" s="47">
        <f>IF([1]Quotenblatt!$M$23="nein",SUMIFS([1]!Großschadentabelle[Schaden-
reserve],[1]!Großschadentabelle[Schadenart],Tabelle_Jahresblatt_2025[[#This Row],[Ursache]],[1]!Großschadentabelle[Jahr],$E$1),IF([1]Quotenblatt!$M$23="ja",SUMIFS([1]!Großschadentabelle[Schaden-
reserve],[1]!Großschadentabelle[Schadenart],Tabelle_Jahresblatt_2025[[#This Row],[Ursache]],[1]!Großschadentabelle[Jahr],$E$1, [1]!Großschadentabelle[Hausverwalter relevant?],"ja")))</f>
        <v>62147.97</v>
      </c>
      <c r="D5" s="47">
        <f>IF([1]Quotenblatt!$M$23="nein",SUMIFS([1]!Kleinschadentabelle[Schadenhöhe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Row],[Ursache]],[1]!Großschadentabelle[Jahr],$E$1,[1]!Großschadentabelle[Hausverwalter relevant?],"ja")))</f>
        <v>72000</v>
      </c>
      <c r="E5" s="45">
        <f>IF([1]Quotenblatt!$M$23="nein",SUMIFS([1]!Kleinschadentabelle[Schadenzähler],[1]!Kleinschadentabelle[Schadenart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Row],[Ursache]],[1]!Großschadentabelle[Jahr],$E$1),IF([1]Quotenblatt!$M$23="ja",SUMIFS([1]!Kleinschadentabelle[Schadenzähler],[1]!Kleinschadentabelle[Schadenart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Row],[Ursache]],[1]!Großschadentabelle[Jahr],$E$1,[1]!Großschadentabelle[Hausverwalter relevant?],"ja")))</f>
        <v>10</v>
      </c>
    </row>
    <row r="6" spans="1:5" x14ac:dyDescent="0.3">
      <c r="A6" s="43" t="s">
        <v>26</v>
      </c>
      <c r="B6" s="47">
        <f>IF([1]Quotenblatt!$M$23="nein",SUMIFS([1]!Kleinschadentabelle[Schadenhöhe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Row],[Ursache]],[1]!Kleinschadentabelle[Jahr],$E$1)+SUMIFS([1]!Großschadentabelle[Schadenzahlung abzgl. Regress],[1]!Großschadentabelle[Schadenart],Tabelle_Jahresblatt_2025[[#This Row],[Ursache]],[1]!Großschadentabelle[Jahr],$E$1,[1]!Großschadentabelle[Hausverwalter relevant?],"ja")))</f>
        <v>0</v>
      </c>
      <c r="C6" s="47">
        <f>IF([1]Quotenblatt!$M$23="nein",SUMIFS([1]!Großschadentabelle[Schaden-
reserve],[1]!Großschadentabelle[Schadenart],Tabelle_Jahresblatt_2025[[#This Row],[Ursache]],[1]!Großschadentabelle[Jahr],$E$1),IF([1]Quotenblatt!$M$23="ja",SUMIFS([1]!Großschadentabelle[Schaden-
reserve],[1]!Großschadentabelle[Schadenart],Tabelle_Jahresblatt_2025[[#This Row],[Ursache]],[1]!Großschadentabelle[Jahr],$E$1, [1]!Großschadentabelle[Hausverwalter relevant?],"ja")))</f>
        <v>0</v>
      </c>
      <c r="D6" s="47">
        <f>IF([1]Quotenblatt!$M$23="nein",SUMIFS([1]!Kleinschadentabelle[Schadenhöhe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Row],[Ursache]],[1]!Großschadentabelle[Jahr],$E$1),IF([1]Quotenblatt!$M$23="ja",SUMIFS([1]!Kleinschadentabelle[Schadenhöhe (bereinigt)],[1]!Kleinschadentabelle[Schadenart (bereinigt)],Tabelle_Jahresblatt_2025[[#This Row],[Ursache]],[1]!Kleinschadentabelle[Jahr],$E$1)+SUMIFS([1]!Großschadentabelle[Gesamt-
Schaden],[1]!Großschadentabelle[Schadenart],Tabelle_Jahresblatt_2025[[#This Row],[Ursache]],[1]!Großschadentabelle[Jahr],$E$1,[1]!Großschadentabelle[Hausverwalter relevant?],"ja")))</f>
        <v>0</v>
      </c>
      <c r="E6" s="45">
        <f>IF([1]Quotenblatt!$M$23="nein",SUMIFS([1]!Kleinschadentabelle[Schadenzähler],[1]!Kleinschadentabelle[Schadenart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Row],[Ursache]],[1]!Großschadentabelle[Jahr],$E$1),IF([1]Quotenblatt!$M$23="ja",SUMIFS([1]!Kleinschadentabelle[Schadenzähler],[1]!Kleinschadentabelle[Schadenart (bereinigt)],Tabelle_Jahresblatt_2025[[#This Row],[Ursache]],[1]!Kleinschadentabelle[Jahr],$E$1)+SUMIFS([1]!Großschadentabelle[Anzahl],[1]!Großschadentabelle[Schadenart],Tabelle_Jahresblatt_2025[[#This Row],[Ursache]],[1]!Großschadentabelle[Jahr],$E$1,[1]!Großschadentabelle[Hausverwalter relevant?],"ja")))</f>
        <v>0</v>
      </c>
    </row>
    <row r="7" spans="1:5" x14ac:dyDescent="0.3">
      <c r="A7" s="43" t="s">
        <v>27</v>
      </c>
      <c r="B7" s="47">
        <f>SUBTOTAL(109,Tabelle_Jahresblatt_2025[Schadenzahlungen])</f>
        <v>24446.149999999998</v>
      </c>
      <c r="C7" s="47">
        <f>SUBTOTAL(109,Tabelle_Jahresblatt_2025[Schadenreserven])</f>
        <v>62147.97</v>
      </c>
      <c r="D7" s="47">
        <f>SUBTOTAL(109,Tabelle_Jahresblatt_2025[Gesamtaufwand])</f>
        <v>86594.12</v>
      </c>
      <c r="E7" s="45">
        <f>SUBTOTAL(109,Tabelle_Jahresblatt_2025[Anzahl])</f>
        <v>18</v>
      </c>
    </row>
  </sheetData>
  <sheetProtection algorithmName="SHA-512" hashValue="KviKbxpFEhep0So2OuAyGCewX+R9CRBaKiOUPNEEkFm/w2qt9ZF59/QJncIV6jjBdWnqAN8AiOuQAISbsWCwqw==" saltValue="U0tK5hnEmHKcw5sp954h0g==" spinCount="100000" sheet="1" objects="1" scenarios="1"/>
  <pageMargins left="0.7" right="0.7" top="0.78740157499999996" bottom="0.78740157499999996" header="0.3" footer="0.3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0BD2-5382-493B-BE71-82705D3CA19B}">
  <sheetPr>
    <pageSetUpPr fitToPage="1"/>
  </sheetPr>
  <dimension ref="A1:E7"/>
  <sheetViews>
    <sheetView zoomScaleNormal="100" workbookViewId="0">
      <selection activeCell="H9" sqref="H9"/>
    </sheetView>
  </sheetViews>
  <sheetFormatPr baseColWidth="10" defaultRowHeight="14.4" x14ac:dyDescent="0.3"/>
  <cols>
    <col min="1" max="1" width="20.6640625" customWidth="1"/>
    <col min="2" max="2" width="19.5546875" customWidth="1"/>
    <col min="3" max="5" width="18.6640625" customWidth="1"/>
  </cols>
  <sheetData>
    <row r="1" spans="1:5" x14ac:dyDescent="0.3">
      <c r="A1" s="43" t="s">
        <v>17</v>
      </c>
      <c r="B1" s="42" t="str">
        <f>CONCATENATE("01.01.2026 - ",TEXT([1]Quotenblatt!$N$29,"TT.MM.JJJJ"))</f>
        <v>01.01.2026 - 24.06.2026</v>
      </c>
      <c r="E1" s="44">
        <v>2026</v>
      </c>
    </row>
    <row r="3" spans="1:5" x14ac:dyDescent="0.3">
      <c r="A3" s="43" t="s">
        <v>19</v>
      </c>
      <c r="B3" s="45" t="s">
        <v>20</v>
      </c>
      <c r="C3" s="45" t="s">
        <v>21</v>
      </c>
      <c r="D3" s="45" t="s">
        <v>22</v>
      </c>
      <c r="E3" s="45" t="s">
        <v>23</v>
      </c>
    </row>
    <row r="4" spans="1:5" x14ac:dyDescent="0.3">
      <c r="A4" s="43" t="s">
        <v>24</v>
      </c>
      <c r="B4" s="46">
        <f>IF([1]Quotenblatt!$M$23="nein",SUMIFS([1]!Kleinschadentabelle[Schadenhöhe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Row],[Ursache]],[1]!Großschadentabelle[Jahr],$E$1,[1]!Großschadentabelle[Hausverwalter relevant?],"ja")))</f>
        <v>1611.31</v>
      </c>
      <c r="C4" s="47">
        <f>IF([1]Quotenblatt!$M$23="nein",SUMIFS([1]!Großschadentabelle[Schaden-
reserve],[1]!Großschadentabelle[Schadenart],Tabelle_Jahresblatt_2026[[#This Row],[Ursache]],[1]!Großschadentabelle[Jahr],$E$1),IF([1]Quotenblatt!$M$23="ja",SUMIFS([1]!Großschadentabelle[Schaden-
reserve],[1]!Großschadentabelle[Schadenart],Tabelle_Jahresblatt_2026[[#This Row],[Ursache]],[1]!Großschadentabelle[Jahr],$E$1, [1]!Großschadentabelle[Hausverwalter relevant?],"ja")))</f>
        <v>4110</v>
      </c>
      <c r="D4" s="47">
        <f>IF([1]Quotenblatt!$M$23="nein",SUMIFS([1]!Kleinschadentabelle[Schadenhöhe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Row],[Ursache]],[1]!Großschadentabelle[Jahr],$E$1,[1]!Großschadentabelle[Hausverwalter relevant?],"ja")))</f>
        <v>5721.3099999999995</v>
      </c>
      <c r="E4" s="45">
        <f>IF([1]Quotenblatt!$M$23="nein",SUMIFS([1]!Kleinschadentabelle[Schadenzähler],[1]!Kleinschadentabelle[Schadenart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Row],[Ursache]],[1]!Großschadentabelle[Jahr],$E$1),IF([1]Quotenblatt!$M$23="ja",SUMIFS([1]!Kleinschadentabelle[Schadenzähler],[1]!Kleinschadentabelle[Schadenart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Row],[Ursache]],[1]!Großschadentabelle[Jahr],$E$1,[1]!Großschadentabelle[Hausverwalter relevant?],"ja")))</f>
        <v>6</v>
      </c>
    </row>
    <row r="5" spans="1:5" x14ac:dyDescent="0.3">
      <c r="A5" s="43" t="s">
        <v>25</v>
      </c>
      <c r="B5" s="47">
        <f>IF([1]Quotenblatt!$M$23="nein",SUMIFS([1]!Kleinschadentabelle[Schadenhöhe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Row],[Ursache]],[1]!Großschadentabelle[Jahr],$E$1,[1]!Großschadentabelle[Hausverwalter relevant?],"ja")))</f>
        <v>0</v>
      </c>
      <c r="C5" s="47">
        <f>IF([1]Quotenblatt!$M$23="nein",SUMIFS([1]!Großschadentabelle[Schaden-
reserve],[1]!Großschadentabelle[Schadenart],Tabelle_Jahresblatt_2026[[#This Row],[Ursache]],[1]!Großschadentabelle[Jahr],$E$1),IF([1]Quotenblatt!$M$23="ja",SUMIFS([1]!Großschadentabelle[Schaden-
reserve],[1]!Großschadentabelle[Schadenart],Tabelle_Jahresblatt_2026[[#This Row],[Ursache]],[1]!Großschadentabelle[Jahr],$E$1, [1]!Großschadentabelle[Hausverwalter relevant?],"ja")))</f>
        <v>82500</v>
      </c>
      <c r="D5" s="47">
        <f>IF([1]Quotenblatt!$M$23="nein",SUMIFS([1]!Kleinschadentabelle[Schadenhöhe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Row],[Ursache]],[1]!Großschadentabelle[Jahr],$E$1,[1]!Großschadentabelle[Hausverwalter relevant?],"ja")))</f>
        <v>82500</v>
      </c>
      <c r="E5" s="45">
        <f>IF([1]Quotenblatt!$M$23="nein",SUMIFS([1]!Kleinschadentabelle[Schadenzähler],[1]!Kleinschadentabelle[Schadenart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Row],[Ursache]],[1]!Großschadentabelle[Jahr],$E$1),IF([1]Quotenblatt!$M$23="ja",SUMIFS([1]!Kleinschadentabelle[Schadenzähler],[1]!Kleinschadentabelle[Schadenart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Row],[Ursache]],[1]!Großschadentabelle[Jahr],$E$1,[1]!Großschadentabelle[Hausverwalter relevant?],"ja")))</f>
        <v>11</v>
      </c>
    </row>
    <row r="6" spans="1:5" x14ac:dyDescent="0.3">
      <c r="A6" s="43" t="s">
        <v>26</v>
      </c>
      <c r="B6" s="47">
        <f>IF([1]Quotenblatt!$M$23="nein",SUMIFS([1]!Kleinschadentabelle[Schadenhöhe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Row],[Ursache]],[1]!Kleinschadentabelle[Jahr],$E$1)+SUMIFS([1]!Großschadentabelle[Schadenzahlung abzgl. Regress],[1]!Großschadentabelle[Schadenart],Tabelle_Jahresblatt_2026[[#This Row],[Ursache]],[1]!Großschadentabelle[Jahr],$E$1,[1]!Großschadentabelle[Hausverwalter relevant?],"ja")))</f>
        <v>0</v>
      </c>
      <c r="C6" s="47">
        <f>IF([1]Quotenblatt!$M$23="nein",SUMIFS([1]!Großschadentabelle[Schaden-
reserve],[1]!Großschadentabelle[Schadenart],Tabelle_Jahresblatt_2026[[#This Row],[Ursache]],[1]!Großschadentabelle[Jahr],$E$1),IF([1]Quotenblatt!$M$23="ja",SUMIFS([1]!Großschadentabelle[Schaden-
reserve],[1]!Großschadentabelle[Schadenart],Tabelle_Jahresblatt_2026[[#This Row],[Ursache]],[1]!Großschadentabelle[Jahr],$E$1, [1]!Großschadentabelle[Hausverwalter relevant?],"ja")))</f>
        <v>0</v>
      </c>
      <c r="D6" s="47">
        <f>IF([1]Quotenblatt!$M$23="nein",SUMIFS([1]!Kleinschadentabelle[Schadenhöhe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Row],[Ursache]],[1]!Großschadentabelle[Jahr],$E$1),IF([1]Quotenblatt!$M$23="ja",SUMIFS([1]!Kleinschadentabelle[Schadenhöhe (bereinigt)],[1]!Kleinschadentabelle[Schadenart (bereinigt)],Tabelle_Jahresblatt_2026[[#This Row],[Ursache]],[1]!Kleinschadentabelle[Jahr],$E$1)+SUMIFS([1]!Großschadentabelle[Gesamt-
Schaden],[1]!Großschadentabelle[Schadenart],Tabelle_Jahresblatt_2026[[#This Row],[Ursache]],[1]!Großschadentabelle[Jahr],$E$1,[1]!Großschadentabelle[Hausverwalter relevant?],"ja")))</f>
        <v>0</v>
      </c>
      <c r="E6" s="45">
        <f>IF([1]Quotenblatt!$M$23="nein",SUMIFS([1]!Kleinschadentabelle[Schadenzähler],[1]!Kleinschadentabelle[Schadenart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Row],[Ursache]],[1]!Großschadentabelle[Jahr],$E$1),IF([1]Quotenblatt!$M$23="ja",SUMIFS([1]!Kleinschadentabelle[Schadenzähler],[1]!Kleinschadentabelle[Schadenart (bereinigt)],Tabelle_Jahresblatt_2026[[#This Row],[Ursache]],[1]!Kleinschadentabelle[Jahr],$E$1)+SUMIFS([1]!Großschadentabelle[Anzahl],[1]!Großschadentabelle[Schadenart],Tabelle_Jahresblatt_2026[[#This Row],[Ursache]],[1]!Großschadentabelle[Jahr],$E$1,[1]!Großschadentabelle[Hausverwalter relevant?],"ja")))</f>
        <v>0</v>
      </c>
    </row>
    <row r="7" spans="1:5" x14ac:dyDescent="0.3">
      <c r="A7" s="43" t="s">
        <v>27</v>
      </c>
      <c r="B7" s="47">
        <f>SUBTOTAL(109,Tabelle_Jahresblatt_2026[Schadenzahlungen])</f>
        <v>1611.31</v>
      </c>
      <c r="C7" s="47">
        <f>SUBTOTAL(109,Tabelle_Jahresblatt_2026[Schadenreserven])</f>
        <v>86610</v>
      </c>
      <c r="D7" s="47">
        <f>SUBTOTAL(109,Tabelle_Jahresblatt_2026[Gesamtaufwand])</f>
        <v>88221.31</v>
      </c>
      <c r="E7" s="45">
        <f>SUBTOTAL(109,Tabelle_Jahresblatt_2026[Anzahl])</f>
        <v>17</v>
      </c>
    </row>
  </sheetData>
  <sheetProtection algorithmName="SHA-512" hashValue="XR+QKN3P2+XN7Cn8xYkfef7AeJYKptstn4MBShGt4TcVOCDcXkzIucFWfy8RFnHkQEv+3Jp+ZbiHg9v0+Ln4vw==" saltValue="yUqGc6pAcezv8Dtcp0IkHQ==" spinCount="100000" sheet="1" objects="1" scenarios="1"/>
  <pageMargins left="0.7" right="0.7" top="0.78740157499999996" bottom="0.78740157499999996" header="0.3" footer="0.3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FBBC-331D-4A75-9B54-B870BA045DF0}">
  <dimension ref="A1:S158"/>
  <sheetViews>
    <sheetView zoomScaleNormal="100" workbookViewId="0">
      <selection activeCell="F11" sqref="F11"/>
    </sheetView>
  </sheetViews>
  <sheetFormatPr baseColWidth="10" defaultRowHeight="14.4" x14ac:dyDescent="0.3"/>
  <cols>
    <col min="1" max="1" width="11.109375" style="2" bestFit="1" customWidth="1"/>
    <col min="2" max="2" width="10.33203125" style="2" customWidth="1"/>
    <col min="3" max="3" width="27.109375" style="2" customWidth="1"/>
    <col min="4" max="4" width="8.6640625" style="2" customWidth="1"/>
    <col min="5" max="5" width="10.6640625" style="2" bestFit="1" customWidth="1"/>
    <col min="6" max="6" width="11.88671875" style="2" bestFit="1" customWidth="1"/>
    <col min="7" max="7" width="17.88671875" style="2" customWidth="1"/>
    <col min="8" max="8" width="18.5546875" style="2" customWidth="1"/>
    <col min="9" max="9" width="18.88671875" style="2" customWidth="1"/>
    <col min="10" max="10" width="11.88671875" style="2" customWidth="1"/>
    <col min="11" max="11" width="18.6640625" style="2" customWidth="1"/>
    <col min="12" max="12" width="9.33203125" style="2" customWidth="1"/>
    <col min="13" max="13" width="19.88671875" style="2" customWidth="1"/>
    <col min="14" max="14" width="21.44140625" style="2" bestFit="1" customWidth="1"/>
    <col min="15" max="15" width="79.109375" style="2" bestFit="1" customWidth="1"/>
    <col min="16" max="16" width="29.5546875" style="2" bestFit="1" customWidth="1"/>
    <col min="17" max="17" width="18.109375" style="2" customWidth="1"/>
    <col min="18" max="18" width="14.88671875" style="2" customWidth="1"/>
    <col min="19" max="19" width="47" style="2" bestFit="1" customWidth="1"/>
  </cols>
  <sheetData>
    <row r="1" spans="1:19" ht="22.8" x14ac:dyDescent="0.3">
      <c r="A1" s="48"/>
      <c r="B1" s="48"/>
      <c r="C1" s="48"/>
      <c r="D1" s="49"/>
      <c r="E1" s="50"/>
      <c r="F1" s="50"/>
      <c r="G1" s="51"/>
      <c r="H1" s="51"/>
      <c r="I1" s="51"/>
      <c r="J1" s="49"/>
      <c r="K1" s="49"/>
      <c r="L1" s="49"/>
      <c r="M1" s="52"/>
      <c r="N1" s="48"/>
      <c r="O1" s="48"/>
      <c r="P1" s="48"/>
      <c r="Q1" s="48"/>
      <c r="R1" s="48"/>
      <c r="S1" s="48"/>
    </row>
    <row r="2" spans="1:19" ht="15" x14ac:dyDescent="0.3">
      <c r="A2" s="78" t="s">
        <v>32</v>
      </c>
      <c r="B2" s="79"/>
      <c r="C2" s="79"/>
      <c r="D2" s="79"/>
      <c r="E2" s="80"/>
      <c r="F2" s="54"/>
      <c r="G2" s="55"/>
      <c r="H2" s="55"/>
      <c r="I2" s="55"/>
      <c r="J2" s="56"/>
      <c r="K2" s="56"/>
      <c r="L2" s="56"/>
      <c r="M2" s="57"/>
      <c r="N2" s="53"/>
      <c r="O2" s="53"/>
      <c r="P2" s="53"/>
      <c r="Q2" s="53"/>
      <c r="R2" s="53"/>
      <c r="S2" s="53"/>
    </row>
    <row r="3" spans="1:19" x14ac:dyDescent="0.3">
      <c r="A3"/>
      <c r="B3"/>
      <c r="C3"/>
      <c r="D3"/>
      <c r="E3"/>
      <c r="F3" s="59"/>
      <c r="G3" s="60"/>
      <c r="H3" s="60"/>
      <c r="I3" s="60"/>
      <c r="J3" s="61"/>
      <c r="K3" s="61"/>
      <c r="L3" s="61"/>
      <c r="M3" s="62"/>
      <c r="N3" s="58"/>
      <c r="O3" s="58"/>
      <c r="P3" s="58"/>
      <c r="Q3" s="58"/>
      <c r="R3" s="58"/>
      <c r="S3" s="58"/>
    </row>
    <row r="4" spans="1:19" x14ac:dyDescent="0.3">
      <c r="A4" s="58"/>
      <c r="B4" s="58"/>
      <c r="C4" s="58"/>
      <c r="D4" s="61"/>
      <c r="E4" s="59"/>
      <c r="F4" s="59"/>
      <c r="G4" s="60"/>
      <c r="H4" s="60"/>
      <c r="I4" s="60"/>
      <c r="J4" s="61"/>
      <c r="K4" s="61"/>
      <c r="L4" s="61"/>
      <c r="M4" s="62"/>
      <c r="N4" s="58"/>
      <c r="O4" s="58"/>
      <c r="P4" s="58"/>
      <c r="Q4" s="58"/>
      <c r="R4" s="58"/>
      <c r="S4" s="58"/>
    </row>
    <row r="5" spans="1:19" ht="51" customHeight="1" x14ac:dyDescent="0.3">
      <c r="A5" s="58"/>
      <c r="B5" s="58"/>
      <c r="C5" s="63" t="s">
        <v>33</v>
      </c>
      <c r="D5" s="61"/>
      <c r="E5" s="59"/>
      <c r="F5" s="59"/>
      <c r="G5"/>
      <c r="H5"/>
      <c r="I5"/>
      <c r="J5"/>
      <c r="K5"/>
      <c r="L5" s="61"/>
      <c r="M5"/>
      <c r="N5" s="58"/>
      <c r="O5" s="58"/>
      <c r="P5" s="58"/>
      <c r="Q5" s="58"/>
      <c r="R5" s="58"/>
      <c r="S5" s="58"/>
    </row>
    <row r="6" spans="1:19" ht="26.4" x14ac:dyDescent="0.3">
      <c r="A6" s="64" t="s">
        <v>34</v>
      </c>
      <c r="B6" s="64" t="s">
        <v>35</v>
      </c>
      <c r="C6" s="64" t="s">
        <v>36</v>
      </c>
      <c r="D6" s="65" t="s">
        <v>37</v>
      </c>
      <c r="E6" s="66" t="s">
        <v>38</v>
      </c>
      <c r="F6" s="66" t="s">
        <v>39</v>
      </c>
      <c r="G6" s="67" t="s">
        <v>40</v>
      </c>
      <c r="H6" s="67" t="s">
        <v>41</v>
      </c>
      <c r="I6" s="67" t="s">
        <v>42</v>
      </c>
      <c r="J6" s="65" t="s">
        <v>43</v>
      </c>
      <c r="K6" s="67" t="s">
        <v>44</v>
      </c>
      <c r="L6" s="65" t="s">
        <v>45</v>
      </c>
      <c r="M6" s="64" t="s">
        <v>46</v>
      </c>
      <c r="N6" s="64" t="s">
        <v>47</v>
      </c>
      <c r="O6" s="64" t="s">
        <v>48</v>
      </c>
      <c r="P6" s="64" t="s">
        <v>49</v>
      </c>
      <c r="Q6" s="64" t="s">
        <v>50</v>
      </c>
      <c r="R6" s="64" t="s">
        <v>51</v>
      </c>
      <c r="S6" s="64" t="s">
        <v>52</v>
      </c>
    </row>
    <row r="7" spans="1:19" ht="15" customHeight="1" x14ac:dyDescent="0.3">
      <c r="A7" s="68">
        <v>44277</v>
      </c>
      <c r="B7" s="68">
        <v>44321</v>
      </c>
      <c r="C7" s="69" t="s">
        <v>53</v>
      </c>
      <c r="D7" s="70">
        <v>0</v>
      </c>
      <c r="E7" s="70">
        <v>0</v>
      </c>
      <c r="F7" s="70">
        <v>0</v>
      </c>
      <c r="G7" s="70">
        <v>0</v>
      </c>
      <c r="H7" s="70">
        <v>273</v>
      </c>
      <c r="I7" s="70">
        <v>273</v>
      </c>
      <c r="J7" s="70">
        <v>0</v>
      </c>
      <c r="K7" s="70">
        <v>273</v>
      </c>
      <c r="L7" s="70">
        <v>0</v>
      </c>
      <c r="M7" s="69" t="s">
        <v>24</v>
      </c>
      <c r="N7" s="69" t="s">
        <v>54</v>
      </c>
      <c r="O7" s="69" t="s">
        <v>55</v>
      </c>
      <c r="P7" s="69" t="s">
        <v>56</v>
      </c>
      <c r="Q7" s="69" t="s">
        <v>57</v>
      </c>
      <c r="R7" s="69" t="s">
        <v>58</v>
      </c>
      <c r="S7" s="69" t="s">
        <v>16</v>
      </c>
    </row>
    <row r="8" spans="1:19" ht="15" customHeight="1" x14ac:dyDescent="0.3">
      <c r="A8" s="68">
        <v>44241</v>
      </c>
      <c r="B8" s="68">
        <v>44358</v>
      </c>
      <c r="C8" s="69" t="s">
        <v>59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69" t="s">
        <v>25</v>
      </c>
      <c r="N8" s="69" t="s">
        <v>60</v>
      </c>
      <c r="O8" s="69" t="s">
        <v>61</v>
      </c>
      <c r="P8" s="69" t="s">
        <v>62</v>
      </c>
      <c r="Q8" s="69" t="s">
        <v>57</v>
      </c>
      <c r="R8" s="69" t="s">
        <v>58</v>
      </c>
      <c r="S8" s="69" t="s">
        <v>16</v>
      </c>
    </row>
    <row r="9" spans="1:19" ht="15" x14ac:dyDescent="0.3">
      <c r="A9" s="68">
        <v>44224</v>
      </c>
      <c r="B9" s="68">
        <v>44351</v>
      </c>
      <c r="C9" s="69" t="s">
        <v>63</v>
      </c>
      <c r="D9" s="70">
        <v>0</v>
      </c>
      <c r="E9" s="70">
        <v>0</v>
      </c>
      <c r="F9" s="70">
        <v>0</v>
      </c>
      <c r="G9" s="70">
        <v>0</v>
      </c>
      <c r="H9" s="70">
        <v>305</v>
      </c>
      <c r="I9" s="70">
        <v>305</v>
      </c>
      <c r="J9" s="70">
        <v>0</v>
      </c>
      <c r="K9" s="70">
        <v>305</v>
      </c>
      <c r="L9" s="70">
        <v>0</v>
      </c>
      <c r="M9" s="69" t="s">
        <v>24</v>
      </c>
      <c r="N9" s="69" t="s">
        <v>54</v>
      </c>
      <c r="O9" s="69" t="s">
        <v>64</v>
      </c>
      <c r="P9" s="69" t="s">
        <v>65</v>
      </c>
      <c r="Q9" s="69" t="s">
        <v>66</v>
      </c>
      <c r="R9" s="69" t="s">
        <v>58</v>
      </c>
      <c r="S9" s="69" t="s">
        <v>16</v>
      </c>
    </row>
    <row r="10" spans="1:19" ht="15" x14ac:dyDescent="0.3">
      <c r="A10" s="68">
        <v>44342</v>
      </c>
      <c r="B10" s="68">
        <v>44356</v>
      </c>
      <c r="C10" s="69" t="s">
        <v>67</v>
      </c>
      <c r="D10" s="70">
        <v>0</v>
      </c>
      <c r="E10" s="70">
        <v>0</v>
      </c>
      <c r="F10" s="70">
        <v>0</v>
      </c>
      <c r="G10" s="70">
        <v>0</v>
      </c>
      <c r="H10" s="70">
        <v>382.36</v>
      </c>
      <c r="I10" s="70">
        <v>382.36</v>
      </c>
      <c r="J10" s="70">
        <v>0</v>
      </c>
      <c r="K10" s="70">
        <v>382.36</v>
      </c>
      <c r="L10" s="70">
        <v>0</v>
      </c>
      <c r="M10" s="69" t="s">
        <v>24</v>
      </c>
      <c r="N10" s="69" t="s">
        <v>54</v>
      </c>
      <c r="O10" s="69" t="s">
        <v>68</v>
      </c>
      <c r="P10" s="69" t="s">
        <v>69</v>
      </c>
      <c r="Q10" s="69" t="s">
        <v>57</v>
      </c>
      <c r="R10" s="69" t="s">
        <v>58</v>
      </c>
      <c r="S10" s="69" t="s">
        <v>16</v>
      </c>
    </row>
    <row r="11" spans="1:19" ht="15" x14ac:dyDescent="0.3">
      <c r="A11" s="68">
        <v>44323</v>
      </c>
      <c r="B11" s="68">
        <v>44364</v>
      </c>
      <c r="C11" s="69" t="s">
        <v>70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69" t="s">
        <v>25</v>
      </c>
      <c r="N11" s="69" t="s">
        <v>60</v>
      </c>
      <c r="O11" s="69" t="s">
        <v>71</v>
      </c>
      <c r="P11" s="69" t="s">
        <v>72</v>
      </c>
      <c r="Q11" s="69" t="s">
        <v>57</v>
      </c>
      <c r="R11" s="69" t="s">
        <v>58</v>
      </c>
      <c r="S11" s="69" t="s">
        <v>16</v>
      </c>
    </row>
    <row r="12" spans="1:19" ht="15" x14ac:dyDescent="0.3">
      <c r="A12" s="68">
        <v>44347</v>
      </c>
      <c r="B12" s="68">
        <v>45337</v>
      </c>
      <c r="C12" s="69" t="s">
        <v>73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69" t="s">
        <v>24</v>
      </c>
      <c r="N12" s="69" t="s">
        <v>60</v>
      </c>
      <c r="O12" s="69" t="s">
        <v>74</v>
      </c>
      <c r="P12" s="69" t="s">
        <v>75</v>
      </c>
      <c r="Q12" s="69" t="s">
        <v>57</v>
      </c>
      <c r="R12" s="69" t="s">
        <v>58</v>
      </c>
      <c r="S12" s="69" t="s">
        <v>16</v>
      </c>
    </row>
    <row r="13" spans="1:19" ht="15" x14ac:dyDescent="0.3">
      <c r="A13" s="68">
        <v>44300</v>
      </c>
      <c r="B13" s="68">
        <v>44742</v>
      </c>
      <c r="C13" s="69" t="s">
        <v>76</v>
      </c>
      <c r="D13" s="70">
        <v>0</v>
      </c>
      <c r="E13" s="70">
        <v>0</v>
      </c>
      <c r="F13" s="70">
        <v>0</v>
      </c>
      <c r="G13" s="70">
        <v>0</v>
      </c>
      <c r="H13" s="70">
        <v>100</v>
      </c>
      <c r="I13" s="70">
        <v>100</v>
      </c>
      <c r="J13" s="70">
        <v>0</v>
      </c>
      <c r="K13" s="70">
        <v>100</v>
      </c>
      <c r="L13" s="70">
        <v>0</v>
      </c>
      <c r="M13" s="69" t="s">
        <v>24</v>
      </c>
      <c r="N13" s="69" t="s">
        <v>54</v>
      </c>
      <c r="O13" s="69" t="s">
        <v>77</v>
      </c>
      <c r="P13" s="69" t="s">
        <v>78</v>
      </c>
      <c r="Q13" s="69" t="s">
        <v>57</v>
      </c>
      <c r="R13" s="69" t="s">
        <v>58</v>
      </c>
      <c r="S13" s="69" t="s">
        <v>16</v>
      </c>
    </row>
    <row r="14" spans="1:19" ht="15" x14ac:dyDescent="0.3">
      <c r="A14" s="68">
        <v>44270</v>
      </c>
      <c r="B14" s="68">
        <v>44370</v>
      </c>
      <c r="C14" s="69" t="s">
        <v>79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69" t="s">
        <v>24</v>
      </c>
      <c r="N14" s="69" t="s">
        <v>60</v>
      </c>
      <c r="O14" s="69" t="s">
        <v>80</v>
      </c>
      <c r="P14" s="69" t="s">
        <v>81</v>
      </c>
      <c r="Q14" s="69" t="s">
        <v>57</v>
      </c>
      <c r="R14" s="69" t="s">
        <v>58</v>
      </c>
      <c r="S14" s="69" t="s">
        <v>16</v>
      </c>
    </row>
    <row r="15" spans="1:19" ht="15" x14ac:dyDescent="0.3">
      <c r="A15" s="68">
        <v>44350</v>
      </c>
      <c r="B15" s="68">
        <v>44379</v>
      </c>
      <c r="C15" s="69" t="s">
        <v>82</v>
      </c>
      <c r="D15" s="70">
        <v>0</v>
      </c>
      <c r="E15" s="70">
        <v>0</v>
      </c>
      <c r="F15" s="70">
        <v>0</v>
      </c>
      <c r="G15" s="70">
        <v>0</v>
      </c>
      <c r="H15" s="70">
        <v>834.24</v>
      </c>
      <c r="I15" s="70">
        <v>834.24</v>
      </c>
      <c r="J15" s="70">
        <v>0</v>
      </c>
      <c r="K15" s="70">
        <v>834.24</v>
      </c>
      <c r="L15" s="70">
        <v>0</v>
      </c>
      <c r="M15" s="69" t="s">
        <v>24</v>
      </c>
      <c r="N15" s="69" t="s">
        <v>54</v>
      </c>
      <c r="O15" s="69" t="s">
        <v>83</v>
      </c>
      <c r="P15" s="69" t="s">
        <v>84</v>
      </c>
      <c r="Q15" s="69" t="s">
        <v>57</v>
      </c>
      <c r="R15" s="69" t="s">
        <v>58</v>
      </c>
      <c r="S15" s="69" t="s">
        <v>16</v>
      </c>
    </row>
    <row r="16" spans="1:19" ht="15" x14ac:dyDescent="0.3">
      <c r="A16" s="68">
        <v>44334</v>
      </c>
      <c r="B16" s="68">
        <v>44559</v>
      </c>
      <c r="C16" s="69" t="s">
        <v>85</v>
      </c>
      <c r="D16" s="70">
        <v>0</v>
      </c>
      <c r="E16" s="70">
        <v>0</v>
      </c>
      <c r="F16" s="70">
        <v>0</v>
      </c>
      <c r="G16" s="70">
        <v>0</v>
      </c>
      <c r="H16" s="70">
        <v>650</v>
      </c>
      <c r="I16" s="70">
        <v>650</v>
      </c>
      <c r="J16" s="70">
        <v>0</v>
      </c>
      <c r="K16" s="70">
        <v>650</v>
      </c>
      <c r="L16" s="70">
        <v>0</v>
      </c>
      <c r="M16" s="69" t="s">
        <v>24</v>
      </c>
      <c r="N16" s="69" t="s">
        <v>54</v>
      </c>
      <c r="O16" s="69" t="s">
        <v>86</v>
      </c>
      <c r="P16" s="69" t="s">
        <v>87</v>
      </c>
      <c r="Q16" s="69" t="s">
        <v>57</v>
      </c>
      <c r="R16" s="69" t="s">
        <v>58</v>
      </c>
      <c r="S16" s="69" t="s">
        <v>16</v>
      </c>
    </row>
    <row r="17" spans="1:19" ht="15" x14ac:dyDescent="0.3">
      <c r="A17" s="68">
        <v>44376</v>
      </c>
      <c r="B17" s="68">
        <v>45006</v>
      </c>
      <c r="C17" s="69" t="s">
        <v>88</v>
      </c>
      <c r="D17" s="70">
        <v>0</v>
      </c>
      <c r="E17" s="70">
        <v>0</v>
      </c>
      <c r="F17" s="70">
        <v>0</v>
      </c>
      <c r="G17" s="70">
        <v>0</v>
      </c>
      <c r="H17" s="70">
        <v>4182.6899999999996</v>
      </c>
      <c r="I17" s="70">
        <v>4182.6899999999996</v>
      </c>
      <c r="J17" s="70">
        <v>0</v>
      </c>
      <c r="K17" s="70">
        <v>4182.6899999999996</v>
      </c>
      <c r="L17" s="70">
        <v>0</v>
      </c>
      <c r="M17" s="69" t="s">
        <v>25</v>
      </c>
      <c r="N17" s="69" t="s">
        <v>54</v>
      </c>
      <c r="O17" s="69" t="s">
        <v>89</v>
      </c>
      <c r="P17" s="69" t="s">
        <v>90</v>
      </c>
      <c r="Q17" s="69" t="s">
        <v>57</v>
      </c>
      <c r="R17" s="69" t="s">
        <v>58</v>
      </c>
      <c r="S17" s="69" t="s">
        <v>16</v>
      </c>
    </row>
    <row r="18" spans="1:19" ht="15" x14ac:dyDescent="0.3">
      <c r="A18" s="68">
        <v>44399</v>
      </c>
      <c r="B18" s="68">
        <v>44460</v>
      </c>
      <c r="C18" s="69" t="s">
        <v>91</v>
      </c>
      <c r="D18" s="70">
        <v>0</v>
      </c>
      <c r="E18" s="70">
        <v>0</v>
      </c>
      <c r="F18" s="70">
        <v>0</v>
      </c>
      <c r="G18" s="70">
        <v>0</v>
      </c>
      <c r="H18" s="70">
        <v>125</v>
      </c>
      <c r="I18" s="70">
        <v>125</v>
      </c>
      <c r="J18" s="70">
        <v>0</v>
      </c>
      <c r="K18" s="70">
        <v>125</v>
      </c>
      <c r="L18" s="70">
        <v>0</v>
      </c>
      <c r="M18" s="69" t="s">
        <v>24</v>
      </c>
      <c r="N18" s="69" t="s">
        <v>54</v>
      </c>
      <c r="O18" s="69" t="s">
        <v>92</v>
      </c>
      <c r="P18" s="69" t="s">
        <v>93</v>
      </c>
      <c r="Q18" s="69" t="s">
        <v>57</v>
      </c>
      <c r="R18" s="69" t="s">
        <v>58</v>
      </c>
      <c r="S18" s="69" t="s">
        <v>16</v>
      </c>
    </row>
    <row r="19" spans="1:19" ht="15" x14ac:dyDescent="0.3">
      <c r="A19" s="68">
        <v>44418</v>
      </c>
      <c r="B19" s="68">
        <v>44453</v>
      </c>
      <c r="C19" s="69" t="s">
        <v>94</v>
      </c>
      <c r="D19" s="70">
        <v>0</v>
      </c>
      <c r="E19" s="70">
        <v>0</v>
      </c>
      <c r="F19" s="70">
        <v>0</v>
      </c>
      <c r="G19" s="70">
        <v>0</v>
      </c>
      <c r="H19" s="70">
        <v>214.56</v>
      </c>
      <c r="I19" s="70">
        <v>214.56</v>
      </c>
      <c r="J19" s="70">
        <v>0</v>
      </c>
      <c r="K19" s="70">
        <v>214.56</v>
      </c>
      <c r="L19" s="70">
        <v>0</v>
      </c>
      <c r="M19" s="69" t="s">
        <v>24</v>
      </c>
      <c r="N19" s="69" t="s">
        <v>54</v>
      </c>
      <c r="O19" s="69" t="s">
        <v>95</v>
      </c>
      <c r="P19" s="69" t="s">
        <v>96</v>
      </c>
      <c r="Q19" s="69" t="s">
        <v>57</v>
      </c>
      <c r="R19" s="69" t="s">
        <v>58</v>
      </c>
      <c r="S19" s="69" t="s">
        <v>16</v>
      </c>
    </row>
    <row r="20" spans="1:19" ht="15" x14ac:dyDescent="0.3">
      <c r="A20" s="68">
        <v>44415</v>
      </c>
      <c r="B20" s="68">
        <v>44483</v>
      </c>
      <c r="C20" s="69" t="s">
        <v>97</v>
      </c>
      <c r="D20" s="70">
        <v>0</v>
      </c>
      <c r="E20" s="70">
        <v>0</v>
      </c>
      <c r="F20" s="70">
        <v>0</v>
      </c>
      <c r="G20" s="70">
        <v>0</v>
      </c>
      <c r="H20" s="70">
        <v>2857.73</v>
      </c>
      <c r="I20" s="70">
        <v>2857.73</v>
      </c>
      <c r="J20" s="70">
        <v>0</v>
      </c>
      <c r="K20" s="70">
        <v>2857.73</v>
      </c>
      <c r="L20" s="70">
        <v>0</v>
      </c>
      <c r="M20" s="69" t="s">
        <v>24</v>
      </c>
      <c r="N20" s="69" t="s">
        <v>54</v>
      </c>
      <c r="O20" s="69" t="s">
        <v>98</v>
      </c>
      <c r="P20" s="69" t="s">
        <v>99</v>
      </c>
      <c r="Q20" s="69" t="s">
        <v>57</v>
      </c>
      <c r="R20" s="69" t="s">
        <v>58</v>
      </c>
      <c r="S20" s="69" t="s">
        <v>16</v>
      </c>
    </row>
    <row r="21" spans="1:19" ht="15" x14ac:dyDescent="0.3">
      <c r="A21" s="68">
        <v>44418</v>
      </c>
      <c r="B21" s="68">
        <v>44445</v>
      </c>
      <c r="C21" s="69" t="s">
        <v>100</v>
      </c>
      <c r="D21" s="70">
        <v>0</v>
      </c>
      <c r="E21" s="70">
        <v>0</v>
      </c>
      <c r="F21" s="70">
        <v>0</v>
      </c>
      <c r="G21" s="70">
        <v>0</v>
      </c>
      <c r="H21" s="70">
        <v>912.98</v>
      </c>
      <c r="I21" s="70">
        <v>912.98</v>
      </c>
      <c r="J21" s="70">
        <v>0</v>
      </c>
      <c r="K21" s="70">
        <v>912.98</v>
      </c>
      <c r="L21" s="70">
        <v>0</v>
      </c>
      <c r="M21" s="69" t="s">
        <v>24</v>
      </c>
      <c r="N21" s="69" t="s">
        <v>54</v>
      </c>
      <c r="O21" s="69" t="s">
        <v>95</v>
      </c>
      <c r="P21" s="69" t="s">
        <v>101</v>
      </c>
      <c r="Q21" s="69" t="s">
        <v>57</v>
      </c>
      <c r="R21" s="69" t="s">
        <v>58</v>
      </c>
      <c r="S21" s="69" t="s">
        <v>16</v>
      </c>
    </row>
    <row r="22" spans="1:19" ht="15" x14ac:dyDescent="0.3">
      <c r="A22" s="68">
        <v>44387</v>
      </c>
      <c r="B22" s="68">
        <v>44460</v>
      </c>
      <c r="C22" s="69" t="s">
        <v>102</v>
      </c>
      <c r="D22" s="70">
        <v>0</v>
      </c>
      <c r="E22" s="70">
        <v>0</v>
      </c>
      <c r="F22" s="70">
        <v>0</v>
      </c>
      <c r="G22" s="70">
        <v>0</v>
      </c>
      <c r="H22" s="70">
        <v>1000</v>
      </c>
      <c r="I22" s="70">
        <v>1000</v>
      </c>
      <c r="J22" s="70">
        <v>0</v>
      </c>
      <c r="K22" s="70">
        <v>1000</v>
      </c>
      <c r="L22" s="70">
        <v>0</v>
      </c>
      <c r="M22" s="69" t="s">
        <v>24</v>
      </c>
      <c r="N22" s="69" t="s">
        <v>54</v>
      </c>
      <c r="O22" s="69" t="s">
        <v>103</v>
      </c>
      <c r="P22" s="69" t="s">
        <v>104</v>
      </c>
      <c r="Q22" s="69" t="s">
        <v>57</v>
      </c>
      <c r="R22" s="69" t="s">
        <v>58</v>
      </c>
      <c r="S22" s="69" t="s">
        <v>16</v>
      </c>
    </row>
    <row r="23" spans="1:19" ht="15" x14ac:dyDescent="0.3">
      <c r="A23" s="68">
        <v>44436</v>
      </c>
      <c r="B23" s="68">
        <v>44504</v>
      </c>
      <c r="C23" s="69" t="s">
        <v>105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69" t="s">
        <v>25</v>
      </c>
      <c r="N23" s="69" t="s">
        <v>60</v>
      </c>
      <c r="O23" s="69" t="s">
        <v>106</v>
      </c>
      <c r="P23" s="69" t="s">
        <v>107</v>
      </c>
      <c r="Q23" s="69" t="s">
        <v>57</v>
      </c>
      <c r="R23" s="69" t="s">
        <v>58</v>
      </c>
      <c r="S23" s="69" t="s">
        <v>16</v>
      </c>
    </row>
    <row r="24" spans="1:19" ht="15" x14ac:dyDescent="0.3">
      <c r="A24" s="68">
        <v>44368</v>
      </c>
      <c r="B24" s="68">
        <v>44686</v>
      </c>
      <c r="C24" s="69" t="s">
        <v>108</v>
      </c>
      <c r="D24" s="70">
        <v>0</v>
      </c>
      <c r="E24" s="70">
        <v>0</v>
      </c>
      <c r="F24" s="70">
        <v>0</v>
      </c>
      <c r="G24" s="70">
        <v>0</v>
      </c>
      <c r="H24" s="70">
        <v>1250</v>
      </c>
      <c r="I24" s="70">
        <v>1250</v>
      </c>
      <c r="J24" s="70">
        <v>0</v>
      </c>
      <c r="K24" s="70">
        <v>1250</v>
      </c>
      <c r="L24" s="70">
        <v>0</v>
      </c>
      <c r="M24" s="69" t="s">
        <v>24</v>
      </c>
      <c r="N24" s="69" t="s">
        <v>54</v>
      </c>
      <c r="O24" s="69" t="s">
        <v>109</v>
      </c>
      <c r="P24" s="69" t="s">
        <v>110</v>
      </c>
      <c r="Q24" s="69" t="s">
        <v>57</v>
      </c>
      <c r="R24" s="69" t="s">
        <v>58</v>
      </c>
      <c r="S24" s="69" t="s">
        <v>16</v>
      </c>
    </row>
    <row r="25" spans="1:19" ht="15" x14ac:dyDescent="0.3">
      <c r="A25" s="68">
        <v>44385</v>
      </c>
      <c r="B25" s="68">
        <v>44504</v>
      </c>
      <c r="C25" s="69" t="s">
        <v>111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69" t="s">
        <v>24</v>
      </c>
      <c r="N25" s="69" t="s">
        <v>60</v>
      </c>
      <c r="O25" s="69" t="s">
        <v>112</v>
      </c>
      <c r="P25" s="69" t="s">
        <v>62</v>
      </c>
      <c r="Q25" s="69" t="s">
        <v>57</v>
      </c>
      <c r="R25" s="69" t="s">
        <v>58</v>
      </c>
      <c r="S25" s="69" t="s">
        <v>16</v>
      </c>
    </row>
    <row r="26" spans="1:19" ht="15" x14ac:dyDescent="0.3">
      <c r="A26" s="68">
        <v>44458</v>
      </c>
      <c r="B26" s="68">
        <v>44732</v>
      </c>
      <c r="C26" s="69" t="s">
        <v>113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69" t="s">
        <v>25</v>
      </c>
      <c r="N26" s="69" t="s">
        <v>114</v>
      </c>
      <c r="O26" s="69" t="s">
        <v>115</v>
      </c>
      <c r="P26" s="69" t="s">
        <v>116</v>
      </c>
      <c r="Q26" s="69" t="s">
        <v>57</v>
      </c>
      <c r="R26" s="69" t="s">
        <v>58</v>
      </c>
      <c r="S26" s="69" t="s">
        <v>16</v>
      </c>
    </row>
    <row r="27" spans="1:19" ht="15" x14ac:dyDescent="0.3">
      <c r="A27" s="68">
        <v>44465</v>
      </c>
      <c r="B27" s="68">
        <v>44741</v>
      </c>
      <c r="C27" s="69" t="s">
        <v>117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69" t="s">
        <v>25</v>
      </c>
      <c r="N27" s="69" t="s">
        <v>60</v>
      </c>
      <c r="O27" s="69" t="s">
        <v>118</v>
      </c>
      <c r="P27" s="69" t="s">
        <v>119</v>
      </c>
      <c r="Q27" s="69" t="s">
        <v>57</v>
      </c>
      <c r="R27" s="69" t="s">
        <v>58</v>
      </c>
      <c r="S27" s="69" t="s">
        <v>16</v>
      </c>
    </row>
    <row r="28" spans="1:19" ht="15" x14ac:dyDescent="0.3">
      <c r="A28" s="68">
        <v>44501</v>
      </c>
      <c r="B28" s="68">
        <v>44532</v>
      </c>
      <c r="C28" s="69" t="s">
        <v>120</v>
      </c>
      <c r="D28" s="70">
        <v>0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69" t="s">
        <v>24</v>
      </c>
      <c r="N28" s="69" t="s">
        <v>60</v>
      </c>
      <c r="O28" s="69" t="s">
        <v>121</v>
      </c>
      <c r="P28" s="69" t="s">
        <v>122</v>
      </c>
      <c r="Q28" s="69" t="s">
        <v>57</v>
      </c>
      <c r="R28" s="69" t="s">
        <v>58</v>
      </c>
      <c r="S28" s="69" t="s">
        <v>16</v>
      </c>
    </row>
    <row r="29" spans="1:19" ht="15" x14ac:dyDescent="0.3">
      <c r="A29" s="68">
        <v>44539</v>
      </c>
      <c r="B29" s="68">
        <v>44635</v>
      </c>
      <c r="C29" s="69" t="s">
        <v>123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69" t="s">
        <v>25</v>
      </c>
      <c r="N29" s="69" t="s">
        <v>124</v>
      </c>
      <c r="O29" s="69" t="s">
        <v>125</v>
      </c>
      <c r="P29" s="69" t="s">
        <v>126</v>
      </c>
      <c r="Q29" s="69" t="s">
        <v>57</v>
      </c>
      <c r="R29" s="69" t="s">
        <v>58</v>
      </c>
      <c r="S29" s="69" t="s">
        <v>16</v>
      </c>
    </row>
    <row r="30" spans="1:19" ht="15" x14ac:dyDescent="0.3">
      <c r="A30" s="68">
        <v>44546</v>
      </c>
      <c r="B30" s="68">
        <v>44643</v>
      </c>
      <c r="C30" s="69" t="s">
        <v>127</v>
      </c>
      <c r="D30" s="70">
        <v>0</v>
      </c>
      <c r="E30" s="70">
        <v>0</v>
      </c>
      <c r="F30" s="70">
        <v>0</v>
      </c>
      <c r="G30" s="70">
        <v>0</v>
      </c>
      <c r="H30" s="70">
        <v>128.6</v>
      </c>
      <c r="I30" s="70">
        <v>128.6</v>
      </c>
      <c r="J30" s="70">
        <v>0</v>
      </c>
      <c r="K30" s="70">
        <v>128.6</v>
      </c>
      <c r="L30" s="70">
        <v>0</v>
      </c>
      <c r="M30" s="69" t="s">
        <v>24</v>
      </c>
      <c r="N30" s="69" t="s">
        <v>54</v>
      </c>
      <c r="O30" s="69" t="s">
        <v>128</v>
      </c>
      <c r="P30" s="69" t="s">
        <v>129</v>
      </c>
      <c r="Q30" s="69" t="s">
        <v>57</v>
      </c>
      <c r="R30" s="69" t="s">
        <v>58</v>
      </c>
      <c r="S30" s="69" t="s">
        <v>16</v>
      </c>
    </row>
    <row r="31" spans="1:19" ht="15" x14ac:dyDescent="0.3">
      <c r="A31" s="68">
        <v>44546</v>
      </c>
      <c r="B31" s="68">
        <v>44764</v>
      </c>
      <c r="C31" s="69" t="s">
        <v>130</v>
      </c>
      <c r="D31" s="70">
        <v>0</v>
      </c>
      <c r="E31" s="70">
        <v>0</v>
      </c>
      <c r="F31" s="70">
        <v>0</v>
      </c>
      <c r="G31" s="70">
        <v>0</v>
      </c>
      <c r="H31" s="70">
        <v>694.17</v>
      </c>
      <c r="I31" s="70">
        <v>694.17</v>
      </c>
      <c r="J31" s="70">
        <v>0</v>
      </c>
      <c r="K31" s="70">
        <v>694.17</v>
      </c>
      <c r="L31" s="70">
        <v>0</v>
      </c>
      <c r="M31" s="69" t="s">
        <v>24</v>
      </c>
      <c r="N31" s="69" t="s">
        <v>54</v>
      </c>
      <c r="O31" s="69" t="s">
        <v>131</v>
      </c>
      <c r="P31" s="69" t="s">
        <v>129</v>
      </c>
      <c r="Q31" s="69" t="s">
        <v>57</v>
      </c>
      <c r="R31" s="69" t="s">
        <v>58</v>
      </c>
      <c r="S31" s="69" t="s">
        <v>16</v>
      </c>
    </row>
    <row r="32" spans="1:19" ht="15" x14ac:dyDescent="0.3">
      <c r="A32" s="68">
        <v>44591</v>
      </c>
      <c r="B32" s="68">
        <v>44678</v>
      </c>
      <c r="C32" s="69" t="s">
        <v>132</v>
      </c>
      <c r="D32" s="70">
        <v>0</v>
      </c>
      <c r="E32" s="70">
        <v>0</v>
      </c>
      <c r="F32" s="70">
        <v>0</v>
      </c>
      <c r="G32" s="70">
        <v>0</v>
      </c>
      <c r="H32" s="70">
        <v>249.96</v>
      </c>
      <c r="I32" s="70">
        <v>249.96</v>
      </c>
      <c r="J32" s="70">
        <v>0</v>
      </c>
      <c r="K32" s="70">
        <v>249.96</v>
      </c>
      <c r="L32" s="70">
        <v>0</v>
      </c>
      <c r="M32" s="69" t="s">
        <v>24</v>
      </c>
      <c r="N32" s="69" t="s">
        <v>54</v>
      </c>
      <c r="O32" s="69" t="s">
        <v>133</v>
      </c>
      <c r="P32" s="69" t="s">
        <v>134</v>
      </c>
      <c r="Q32" s="69" t="s">
        <v>57</v>
      </c>
      <c r="R32" s="69" t="s">
        <v>58</v>
      </c>
      <c r="S32" s="69" t="s">
        <v>16</v>
      </c>
    </row>
    <row r="33" spans="1:19" ht="15" x14ac:dyDescent="0.3">
      <c r="A33" s="68">
        <v>44591</v>
      </c>
      <c r="B33" s="68">
        <v>44608</v>
      </c>
      <c r="C33" s="69" t="s">
        <v>135</v>
      </c>
      <c r="D33" s="70">
        <v>0</v>
      </c>
      <c r="E33" s="70">
        <v>0</v>
      </c>
      <c r="F33" s="70">
        <v>0</v>
      </c>
      <c r="G33" s="70">
        <v>0</v>
      </c>
      <c r="H33" s="70">
        <v>468</v>
      </c>
      <c r="I33" s="70">
        <v>468</v>
      </c>
      <c r="J33" s="70">
        <v>0</v>
      </c>
      <c r="K33" s="70">
        <v>468</v>
      </c>
      <c r="L33" s="70">
        <v>0</v>
      </c>
      <c r="M33" s="69" t="s">
        <v>24</v>
      </c>
      <c r="N33" s="69" t="s">
        <v>54</v>
      </c>
      <c r="O33" s="69" t="s">
        <v>136</v>
      </c>
      <c r="P33" s="69" t="s">
        <v>137</v>
      </c>
      <c r="Q33" s="69" t="s">
        <v>57</v>
      </c>
      <c r="R33" s="69" t="s">
        <v>58</v>
      </c>
      <c r="S33" s="69" t="s">
        <v>16</v>
      </c>
    </row>
    <row r="34" spans="1:19" ht="15" x14ac:dyDescent="0.3">
      <c r="A34" s="68">
        <v>44534</v>
      </c>
      <c r="B34" s="68">
        <v>44623</v>
      </c>
      <c r="C34" s="69" t="s">
        <v>138</v>
      </c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69" t="s">
        <v>24</v>
      </c>
      <c r="N34" s="69" t="s">
        <v>60</v>
      </c>
      <c r="O34" s="69" t="s">
        <v>139</v>
      </c>
      <c r="P34" s="69" t="s">
        <v>140</v>
      </c>
      <c r="Q34" s="69" t="s">
        <v>57</v>
      </c>
      <c r="R34" s="69" t="s">
        <v>58</v>
      </c>
      <c r="S34" s="69" t="s">
        <v>16</v>
      </c>
    </row>
    <row r="35" spans="1:19" ht="15" x14ac:dyDescent="0.3">
      <c r="A35" s="68">
        <v>44554</v>
      </c>
      <c r="B35" s="68">
        <v>44917</v>
      </c>
      <c r="C35" s="69" t="s">
        <v>141</v>
      </c>
      <c r="D35" s="70">
        <v>0</v>
      </c>
      <c r="E35" s="70">
        <v>0</v>
      </c>
      <c r="F35" s="70">
        <v>0</v>
      </c>
      <c r="G35" s="70">
        <v>0</v>
      </c>
      <c r="H35" s="70">
        <v>537.34</v>
      </c>
      <c r="I35" s="70">
        <v>537.34</v>
      </c>
      <c r="J35" s="70">
        <v>0</v>
      </c>
      <c r="K35" s="70">
        <v>537.34</v>
      </c>
      <c r="L35" s="70">
        <v>0</v>
      </c>
      <c r="M35" s="69" t="s">
        <v>25</v>
      </c>
      <c r="N35" s="69" t="s">
        <v>54</v>
      </c>
      <c r="O35" s="69" t="s">
        <v>142</v>
      </c>
      <c r="P35" s="69" t="s">
        <v>143</v>
      </c>
      <c r="Q35" s="69" t="s">
        <v>57</v>
      </c>
      <c r="R35" s="69" t="s">
        <v>58</v>
      </c>
      <c r="S35" s="69" t="s">
        <v>16</v>
      </c>
    </row>
    <row r="36" spans="1:19" ht="15" x14ac:dyDescent="0.3">
      <c r="A36" s="68">
        <v>44470</v>
      </c>
      <c r="B36" s="68">
        <v>44699</v>
      </c>
      <c r="C36" s="69" t="s">
        <v>144</v>
      </c>
      <c r="D36" s="70">
        <v>0</v>
      </c>
      <c r="E36" s="70">
        <v>0</v>
      </c>
      <c r="F36" s="70">
        <v>0</v>
      </c>
      <c r="G36" s="70">
        <v>0</v>
      </c>
      <c r="H36" s="70">
        <v>250</v>
      </c>
      <c r="I36" s="70">
        <v>250</v>
      </c>
      <c r="J36" s="70">
        <v>0</v>
      </c>
      <c r="K36" s="70">
        <v>250</v>
      </c>
      <c r="L36" s="70">
        <v>0</v>
      </c>
      <c r="M36" s="69" t="s">
        <v>25</v>
      </c>
      <c r="N36" s="69" t="s">
        <v>54</v>
      </c>
      <c r="O36" s="69" t="s">
        <v>145</v>
      </c>
      <c r="P36" s="69" t="s">
        <v>146</v>
      </c>
      <c r="Q36" s="69" t="s">
        <v>57</v>
      </c>
      <c r="R36" s="69" t="s">
        <v>58</v>
      </c>
      <c r="S36" s="69" t="s">
        <v>16</v>
      </c>
    </row>
    <row r="37" spans="1:19" ht="15" x14ac:dyDescent="0.3">
      <c r="A37" s="68">
        <v>44655</v>
      </c>
      <c r="B37" s="68">
        <v>44978</v>
      </c>
      <c r="C37" s="69" t="s">
        <v>147</v>
      </c>
      <c r="D37" s="70">
        <v>0</v>
      </c>
      <c r="E37" s="70">
        <v>0</v>
      </c>
      <c r="F37" s="70">
        <v>0</v>
      </c>
      <c r="G37" s="70">
        <v>0</v>
      </c>
      <c r="H37" s="70">
        <v>150</v>
      </c>
      <c r="I37" s="70">
        <v>150</v>
      </c>
      <c r="J37" s="70">
        <v>0</v>
      </c>
      <c r="K37" s="70">
        <v>150</v>
      </c>
      <c r="L37" s="70">
        <v>0</v>
      </c>
      <c r="M37" s="69" t="s">
        <v>24</v>
      </c>
      <c r="N37" s="69" t="s">
        <v>54</v>
      </c>
      <c r="O37" s="69" t="s">
        <v>148</v>
      </c>
      <c r="P37" s="69" t="s">
        <v>149</v>
      </c>
      <c r="Q37" s="69" t="s">
        <v>57</v>
      </c>
      <c r="R37" s="69" t="s">
        <v>58</v>
      </c>
      <c r="S37" s="69" t="s">
        <v>16</v>
      </c>
    </row>
    <row r="38" spans="1:19" ht="15" x14ac:dyDescent="0.3">
      <c r="A38" s="68">
        <v>44661</v>
      </c>
      <c r="B38" s="69"/>
      <c r="C38" s="69" t="s">
        <v>150</v>
      </c>
      <c r="D38" s="70">
        <v>0</v>
      </c>
      <c r="E38" s="70">
        <v>0</v>
      </c>
      <c r="F38" s="70">
        <v>0</v>
      </c>
      <c r="G38" s="70">
        <v>50000</v>
      </c>
      <c r="H38" s="70">
        <v>0</v>
      </c>
      <c r="I38" s="70">
        <v>50000</v>
      </c>
      <c r="J38" s="70">
        <v>0</v>
      </c>
      <c r="K38" s="70">
        <v>50000</v>
      </c>
      <c r="L38" s="70">
        <v>0</v>
      </c>
      <c r="M38" s="69" t="s">
        <v>24</v>
      </c>
      <c r="N38" s="69" t="s">
        <v>151</v>
      </c>
      <c r="O38" s="69" t="s">
        <v>152</v>
      </c>
      <c r="P38" s="69" t="s">
        <v>153</v>
      </c>
      <c r="Q38" s="69" t="s">
        <v>57</v>
      </c>
      <c r="R38" s="69" t="s">
        <v>58</v>
      </c>
      <c r="S38" s="69" t="s">
        <v>16</v>
      </c>
    </row>
    <row r="39" spans="1:19" ht="15" x14ac:dyDescent="0.3">
      <c r="A39" s="68">
        <v>44516</v>
      </c>
      <c r="B39" s="68">
        <v>45044</v>
      </c>
      <c r="C39" s="69" t="s">
        <v>154</v>
      </c>
      <c r="D39" s="70">
        <v>0</v>
      </c>
      <c r="E39" s="70">
        <v>0</v>
      </c>
      <c r="F39" s="70">
        <v>0</v>
      </c>
      <c r="G39" s="70">
        <v>0</v>
      </c>
      <c r="H39" s="70">
        <v>1590.58</v>
      </c>
      <c r="I39" s="70">
        <v>1590.58</v>
      </c>
      <c r="J39" s="70">
        <v>0</v>
      </c>
      <c r="K39" s="70">
        <v>1590.58</v>
      </c>
      <c r="L39" s="70">
        <v>0</v>
      </c>
      <c r="M39" s="69" t="s">
        <v>25</v>
      </c>
      <c r="N39" s="69" t="s">
        <v>54</v>
      </c>
      <c r="O39" s="69" t="s">
        <v>155</v>
      </c>
      <c r="P39" s="69" t="s">
        <v>156</v>
      </c>
      <c r="Q39" s="69" t="s">
        <v>57</v>
      </c>
      <c r="R39" s="69" t="s">
        <v>58</v>
      </c>
      <c r="S39" s="69" t="s">
        <v>16</v>
      </c>
    </row>
    <row r="40" spans="1:19" ht="15" x14ac:dyDescent="0.3">
      <c r="A40" s="68">
        <v>44650</v>
      </c>
      <c r="B40" s="68">
        <v>45083</v>
      </c>
      <c r="C40" s="69" t="s">
        <v>157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69" t="s">
        <v>24</v>
      </c>
      <c r="N40" s="69" t="s">
        <v>158</v>
      </c>
      <c r="O40" s="69" t="s">
        <v>159</v>
      </c>
      <c r="P40" s="69" t="s">
        <v>160</v>
      </c>
      <c r="Q40" s="69" t="s">
        <v>57</v>
      </c>
      <c r="R40" s="69" t="s">
        <v>58</v>
      </c>
      <c r="S40" s="69" t="s">
        <v>16</v>
      </c>
    </row>
    <row r="41" spans="1:19" ht="15" x14ac:dyDescent="0.3">
      <c r="A41" s="68">
        <v>44577</v>
      </c>
      <c r="B41" s="68">
        <v>44713</v>
      </c>
      <c r="C41" s="69" t="s">
        <v>161</v>
      </c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69" t="s">
        <v>24</v>
      </c>
      <c r="N41" s="69" t="s">
        <v>60</v>
      </c>
      <c r="O41" s="69" t="s">
        <v>162</v>
      </c>
      <c r="P41" s="69" t="s">
        <v>163</v>
      </c>
      <c r="Q41" s="69" t="s">
        <v>57</v>
      </c>
      <c r="R41" s="69" t="s">
        <v>58</v>
      </c>
      <c r="S41" s="69" t="s">
        <v>16</v>
      </c>
    </row>
    <row r="42" spans="1:19" ht="15" x14ac:dyDescent="0.3">
      <c r="A42" s="68">
        <v>44648</v>
      </c>
      <c r="B42" s="68">
        <v>44774</v>
      </c>
      <c r="C42" s="69" t="s">
        <v>164</v>
      </c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69" t="s">
        <v>24</v>
      </c>
      <c r="N42" s="69" t="s">
        <v>60</v>
      </c>
      <c r="O42" s="69" t="s">
        <v>165</v>
      </c>
      <c r="P42" s="69" t="s">
        <v>166</v>
      </c>
      <c r="Q42" s="69" t="s">
        <v>57</v>
      </c>
      <c r="R42" s="69" t="s">
        <v>58</v>
      </c>
      <c r="S42" s="69" t="s">
        <v>16</v>
      </c>
    </row>
    <row r="43" spans="1:19" ht="15" x14ac:dyDescent="0.3">
      <c r="A43" s="68">
        <v>44684</v>
      </c>
      <c r="B43" s="68">
        <v>44701</v>
      </c>
      <c r="C43" s="69" t="s">
        <v>167</v>
      </c>
      <c r="D43" s="70">
        <v>0</v>
      </c>
      <c r="E43" s="70">
        <v>0</v>
      </c>
      <c r="F43" s="70">
        <v>0</v>
      </c>
      <c r="G43" s="70">
        <v>0</v>
      </c>
      <c r="H43" s="70">
        <v>260</v>
      </c>
      <c r="I43" s="70">
        <v>260</v>
      </c>
      <c r="J43" s="70">
        <v>0</v>
      </c>
      <c r="K43" s="70">
        <v>260</v>
      </c>
      <c r="L43" s="70">
        <v>0</v>
      </c>
      <c r="M43" s="69" t="s">
        <v>24</v>
      </c>
      <c r="N43" s="69" t="s">
        <v>54</v>
      </c>
      <c r="O43" s="69" t="s">
        <v>168</v>
      </c>
      <c r="P43" s="69" t="s">
        <v>169</v>
      </c>
      <c r="Q43" s="69" t="s">
        <v>57</v>
      </c>
      <c r="R43" s="69" t="s">
        <v>58</v>
      </c>
      <c r="S43" s="69" t="s">
        <v>16</v>
      </c>
    </row>
    <row r="44" spans="1:19" ht="15" x14ac:dyDescent="0.3">
      <c r="A44" s="68">
        <v>44687</v>
      </c>
      <c r="B44" s="68">
        <v>44812</v>
      </c>
      <c r="C44" s="69" t="s">
        <v>170</v>
      </c>
      <c r="D44" s="70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69" t="s">
        <v>24</v>
      </c>
      <c r="N44" s="69" t="s">
        <v>60</v>
      </c>
      <c r="O44" s="69" t="s">
        <v>171</v>
      </c>
      <c r="P44" s="69" t="s">
        <v>172</v>
      </c>
      <c r="Q44" s="69" t="s">
        <v>57</v>
      </c>
      <c r="R44" s="69" t="s">
        <v>58</v>
      </c>
      <c r="S44" s="69" t="s">
        <v>16</v>
      </c>
    </row>
    <row r="45" spans="1:19" ht="15" x14ac:dyDescent="0.3">
      <c r="A45" s="68">
        <v>44794</v>
      </c>
      <c r="B45" s="68">
        <v>45636</v>
      </c>
      <c r="C45" s="69" t="s">
        <v>173</v>
      </c>
      <c r="D45" s="70">
        <v>0</v>
      </c>
      <c r="E45" s="70">
        <v>0</v>
      </c>
      <c r="F45" s="70">
        <v>0</v>
      </c>
      <c r="G45" s="70">
        <v>0</v>
      </c>
      <c r="H45" s="70">
        <v>61.21</v>
      </c>
      <c r="I45" s="70">
        <v>61.21</v>
      </c>
      <c r="J45" s="70">
        <v>0</v>
      </c>
      <c r="K45" s="70">
        <v>61.21</v>
      </c>
      <c r="L45" s="70">
        <v>0</v>
      </c>
      <c r="M45" s="69" t="s">
        <v>25</v>
      </c>
      <c r="N45" s="69" t="s">
        <v>54</v>
      </c>
      <c r="O45" s="69" t="s">
        <v>174</v>
      </c>
      <c r="P45" s="69" t="s">
        <v>175</v>
      </c>
      <c r="Q45" s="69" t="s">
        <v>57</v>
      </c>
      <c r="R45" s="69" t="s">
        <v>58</v>
      </c>
      <c r="S45" s="69" t="s">
        <v>16</v>
      </c>
    </row>
    <row r="46" spans="1:19" ht="15" x14ac:dyDescent="0.3">
      <c r="A46" s="68">
        <v>44810</v>
      </c>
      <c r="B46" s="68">
        <v>45750</v>
      </c>
      <c r="C46" s="69" t="s">
        <v>176</v>
      </c>
      <c r="D46" s="70">
        <v>0</v>
      </c>
      <c r="E46" s="70">
        <v>0</v>
      </c>
      <c r="F46" s="70">
        <v>0</v>
      </c>
      <c r="G46" s="70">
        <v>0</v>
      </c>
      <c r="H46" s="70">
        <v>2031.89</v>
      </c>
      <c r="I46" s="70">
        <v>2031.89</v>
      </c>
      <c r="J46" s="70">
        <v>0</v>
      </c>
      <c r="K46" s="70">
        <v>2031.89</v>
      </c>
      <c r="L46" s="70">
        <v>0</v>
      </c>
      <c r="M46" s="69" t="s">
        <v>24</v>
      </c>
      <c r="N46" s="69" t="s">
        <v>54</v>
      </c>
      <c r="O46" s="69" t="s">
        <v>177</v>
      </c>
      <c r="P46" s="69" t="s">
        <v>178</v>
      </c>
      <c r="Q46" s="69" t="s">
        <v>57</v>
      </c>
      <c r="R46" s="69" t="s">
        <v>58</v>
      </c>
      <c r="S46" s="69" t="s">
        <v>16</v>
      </c>
    </row>
    <row r="47" spans="1:19" ht="15" x14ac:dyDescent="0.3">
      <c r="A47" s="68">
        <v>44792</v>
      </c>
      <c r="B47" s="68">
        <v>45750</v>
      </c>
      <c r="C47" s="69" t="s">
        <v>179</v>
      </c>
      <c r="D47" s="70">
        <v>0</v>
      </c>
      <c r="E47" s="70">
        <v>0</v>
      </c>
      <c r="F47" s="70">
        <v>0</v>
      </c>
      <c r="G47" s="70">
        <v>0</v>
      </c>
      <c r="H47" s="70">
        <v>11843.86</v>
      </c>
      <c r="I47" s="70">
        <v>11843.86</v>
      </c>
      <c r="J47" s="70">
        <v>0</v>
      </c>
      <c r="K47" s="70">
        <v>11843.86</v>
      </c>
      <c r="L47" s="70">
        <v>0</v>
      </c>
      <c r="M47" s="69" t="s">
        <v>25</v>
      </c>
      <c r="N47" s="69" t="s">
        <v>54</v>
      </c>
      <c r="O47" s="69" t="s">
        <v>180</v>
      </c>
      <c r="P47" s="69" t="s">
        <v>181</v>
      </c>
      <c r="Q47" s="69" t="s">
        <v>57</v>
      </c>
      <c r="R47" s="69" t="s">
        <v>58</v>
      </c>
      <c r="S47" s="69" t="s">
        <v>16</v>
      </c>
    </row>
    <row r="48" spans="1:19" ht="15" x14ac:dyDescent="0.3">
      <c r="A48" s="68">
        <v>44806</v>
      </c>
      <c r="B48" s="68">
        <v>44942</v>
      </c>
      <c r="C48" s="69" t="s">
        <v>182</v>
      </c>
      <c r="D48" s="70">
        <v>0</v>
      </c>
      <c r="E48" s="70">
        <v>0</v>
      </c>
      <c r="F48" s="70">
        <v>0</v>
      </c>
      <c r="G48" s="70">
        <v>0</v>
      </c>
      <c r="H48" s="70">
        <v>750</v>
      </c>
      <c r="I48" s="70">
        <v>750</v>
      </c>
      <c r="J48" s="70">
        <v>0</v>
      </c>
      <c r="K48" s="70">
        <v>750</v>
      </c>
      <c r="L48" s="70">
        <v>0</v>
      </c>
      <c r="M48" s="69" t="s">
        <v>24</v>
      </c>
      <c r="N48" s="69" t="s">
        <v>54</v>
      </c>
      <c r="O48" s="69" t="s">
        <v>183</v>
      </c>
      <c r="P48" s="69" t="s">
        <v>184</v>
      </c>
      <c r="Q48" s="69" t="s">
        <v>57</v>
      </c>
      <c r="R48" s="69" t="s">
        <v>58</v>
      </c>
      <c r="S48" s="69" t="s">
        <v>16</v>
      </c>
    </row>
    <row r="49" spans="1:19" ht="15" x14ac:dyDescent="0.3">
      <c r="A49" s="68">
        <v>44822</v>
      </c>
      <c r="B49" s="68">
        <v>45302</v>
      </c>
      <c r="C49" s="69" t="s">
        <v>185</v>
      </c>
      <c r="D49" s="70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0</v>
      </c>
      <c r="M49" s="69" t="s">
        <v>24</v>
      </c>
      <c r="N49" s="69" t="s">
        <v>60</v>
      </c>
      <c r="O49" s="69" t="s">
        <v>186</v>
      </c>
      <c r="P49" s="69" t="s">
        <v>187</v>
      </c>
      <c r="Q49" s="69" t="s">
        <v>57</v>
      </c>
      <c r="R49" s="69" t="s">
        <v>58</v>
      </c>
      <c r="S49" s="69" t="s">
        <v>16</v>
      </c>
    </row>
    <row r="50" spans="1:19" ht="15" x14ac:dyDescent="0.3">
      <c r="A50" s="68">
        <v>44810</v>
      </c>
      <c r="B50" s="68">
        <v>45013</v>
      </c>
      <c r="C50" s="69" t="s">
        <v>188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69" t="s">
        <v>24</v>
      </c>
      <c r="N50" s="69" t="s">
        <v>60</v>
      </c>
      <c r="O50" s="69" t="s">
        <v>189</v>
      </c>
      <c r="P50" s="69" t="s">
        <v>178</v>
      </c>
      <c r="Q50" s="69" t="s">
        <v>57</v>
      </c>
      <c r="R50" s="69" t="s">
        <v>58</v>
      </c>
      <c r="S50" s="69" t="s">
        <v>16</v>
      </c>
    </row>
    <row r="51" spans="1:19" ht="15" x14ac:dyDescent="0.3">
      <c r="A51" s="68">
        <v>44775</v>
      </c>
      <c r="B51" s="68">
        <v>44911</v>
      </c>
      <c r="C51" s="69" t="s">
        <v>190</v>
      </c>
      <c r="D51" s="70">
        <v>0</v>
      </c>
      <c r="E51" s="70">
        <v>0</v>
      </c>
      <c r="F51" s="70">
        <v>0</v>
      </c>
      <c r="G51" s="70">
        <v>0</v>
      </c>
      <c r="H51" s="70">
        <v>1533.5</v>
      </c>
      <c r="I51" s="70">
        <v>1533.5</v>
      </c>
      <c r="J51" s="70">
        <v>0</v>
      </c>
      <c r="K51" s="70">
        <v>1533.5</v>
      </c>
      <c r="L51" s="70">
        <v>0</v>
      </c>
      <c r="M51" s="69" t="s">
        <v>24</v>
      </c>
      <c r="N51" s="69" t="s">
        <v>54</v>
      </c>
      <c r="O51" s="69" t="s">
        <v>191</v>
      </c>
      <c r="P51" s="69" t="s">
        <v>192</v>
      </c>
      <c r="Q51" s="69" t="s">
        <v>57</v>
      </c>
      <c r="R51" s="69" t="s">
        <v>58</v>
      </c>
      <c r="S51" s="69" t="s">
        <v>16</v>
      </c>
    </row>
    <row r="52" spans="1:19" ht="15" x14ac:dyDescent="0.3">
      <c r="A52" s="68">
        <v>44559</v>
      </c>
      <c r="B52" s="68">
        <v>45443</v>
      </c>
      <c r="C52" s="69" t="s">
        <v>193</v>
      </c>
      <c r="D52" s="70">
        <v>0</v>
      </c>
      <c r="E52" s="70">
        <v>0</v>
      </c>
      <c r="F52" s="70">
        <v>0</v>
      </c>
      <c r="G52" s="70">
        <v>0</v>
      </c>
      <c r="H52" s="70">
        <v>1654.31</v>
      </c>
      <c r="I52" s="70">
        <v>1654.31</v>
      </c>
      <c r="J52" s="70">
        <v>0</v>
      </c>
      <c r="K52" s="70">
        <v>1654.31</v>
      </c>
      <c r="L52" s="70">
        <v>0</v>
      </c>
      <c r="M52" s="69" t="s">
        <v>25</v>
      </c>
      <c r="N52" s="69" t="s">
        <v>54</v>
      </c>
      <c r="O52" s="69" t="s">
        <v>194</v>
      </c>
      <c r="P52" s="69" t="s">
        <v>195</v>
      </c>
      <c r="Q52" s="69" t="s">
        <v>57</v>
      </c>
      <c r="R52" s="69" t="s">
        <v>58</v>
      </c>
      <c r="S52" s="69" t="s">
        <v>16</v>
      </c>
    </row>
    <row r="53" spans="1:19" ht="15" x14ac:dyDescent="0.3">
      <c r="A53" s="68">
        <v>44873</v>
      </c>
      <c r="B53" s="68">
        <v>45458</v>
      </c>
      <c r="C53" s="69" t="s">
        <v>196</v>
      </c>
      <c r="D53" s="70">
        <v>0</v>
      </c>
      <c r="E53" s="70">
        <v>0</v>
      </c>
      <c r="F53" s="70">
        <v>0</v>
      </c>
      <c r="G53" s="70">
        <v>0</v>
      </c>
      <c r="H53" s="70">
        <v>44</v>
      </c>
      <c r="I53" s="70">
        <v>44</v>
      </c>
      <c r="J53" s="70">
        <v>0</v>
      </c>
      <c r="K53" s="70">
        <v>44</v>
      </c>
      <c r="L53" s="70">
        <v>0</v>
      </c>
      <c r="M53" s="69" t="s">
        <v>25</v>
      </c>
      <c r="N53" s="69" t="s">
        <v>158</v>
      </c>
      <c r="O53" s="69" t="s">
        <v>197</v>
      </c>
      <c r="P53" s="69" t="s">
        <v>198</v>
      </c>
      <c r="Q53" s="69" t="s">
        <v>57</v>
      </c>
      <c r="R53" s="69" t="s">
        <v>58</v>
      </c>
      <c r="S53" s="69" t="s">
        <v>16</v>
      </c>
    </row>
    <row r="54" spans="1:19" ht="15" x14ac:dyDescent="0.3">
      <c r="A54" s="68">
        <v>44652</v>
      </c>
      <c r="B54" s="68">
        <v>45071</v>
      </c>
      <c r="C54" s="69" t="s">
        <v>199</v>
      </c>
      <c r="D54" s="70">
        <v>0</v>
      </c>
      <c r="E54" s="70">
        <v>0</v>
      </c>
      <c r="F54" s="70">
        <v>0</v>
      </c>
      <c r="G54" s="70">
        <v>0</v>
      </c>
      <c r="H54" s="70">
        <v>250</v>
      </c>
      <c r="I54" s="70">
        <v>250</v>
      </c>
      <c r="J54" s="70">
        <v>0</v>
      </c>
      <c r="K54" s="70">
        <v>250</v>
      </c>
      <c r="L54" s="70">
        <v>0</v>
      </c>
      <c r="M54" s="69" t="s">
        <v>24</v>
      </c>
      <c r="N54" s="69" t="s">
        <v>54</v>
      </c>
      <c r="O54" s="69" t="s">
        <v>200</v>
      </c>
      <c r="P54" s="69" t="s">
        <v>201</v>
      </c>
      <c r="Q54" s="69" t="s">
        <v>57</v>
      </c>
      <c r="R54" s="69" t="s">
        <v>58</v>
      </c>
      <c r="S54" s="69" t="s">
        <v>16</v>
      </c>
    </row>
    <row r="55" spans="1:19" ht="15" x14ac:dyDescent="0.3">
      <c r="A55" s="68">
        <v>44904</v>
      </c>
      <c r="B55" s="68">
        <v>45223</v>
      </c>
      <c r="C55" s="69" t="s">
        <v>202</v>
      </c>
      <c r="D55" s="70">
        <v>0</v>
      </c>
      <c r="E55" s="70">
        <v>0</v>
      </c>
      <c r="F55" s="70">
        <v>0</v>
      </c>
      <c r="G55" s="70">
        <v>0</v>
      </c>
      <c r="H55" s="70">
        <v>190.8</v>
      </c>
      <c r="I55" s="70">
        <v>190.8</v>
      </c>
      <c r="J55" s="70">
        <v>0</v>
      </c>
      <c r="K55" s="70">
        <v>190.8</v>
      </c>
      <c r="L55" s="70">
        <v>0</v>
      </c>
      <c r="M55" s="69" t="s">
        <v>25</v>
      </c>
      <c r="N55" s="69" t="s">
        <v>54</v>
      </c>
      <c r="O55" s="69" t="s">
        <v>203</v>
      </c>
      <c r="P55" s="69" t="s">
        <v>204</v>
      </c>
      <c r="Q55" s="69" t="s">
        <v>57</v>
      </c>
      <c r="R55" s="69" t="s">
        <v>58</v>
      </c>
      <c r="S55" s="69" t="s">
        <v>16</v>
      </c>
    </row>
    <row r="56" spans="1:19" ht="15" x14ac:dyDescent="0.3">
      <c r="A56" s="68">
        <v>44941</v>
      </c>
      <c r="B56" s="68">
        <v>45114</v>
      </c>
      <c r="C56" s="69" t="s">
        <v>205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69" t="s">
        <v>24</v>
      </c>
      <c r="N56" s="69" t="s">
        <v>60</v>
      </c>
      <c r="O56" s="69" t="s">
        <v>206</v>
      </c>
      <c r="P56" s="69" t="s">
        <v>207</v>
      </c>
      <c r="Q56" s="69" t="s">
        <v>57</v>
      </c>
      <c r="R56" s="69" t="s">
        <v>58</v>
      </c>
      <c r="S56" s="69" t="s">
        <v>16</v>
      </c>
    </row>
    <row r="57" spans="1:19" ht="15" x14ac:dyDescent="0.3">
      <c r="A57" s="68">
        <v>44810</v>
      </c>
      <c r="B57" s="68">
        <v>45195</v>
      </c>
      <c r="C57" s="69" t="s">
        <v>208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69" t="s">
        <v>24</v>
      </c>
      <c r="N57" s="69" t="s">
        <v>60</v>
      </c>
      <c r="O57" s="69" t="s">
        <v>209</v>
      </c>
      <c r="P57" s="69" t="s">
        <v>178</v>
      </c>
      <c r="Q57" s="69" t="s">
        <v>57</v>
      </c>
      <c r="R57" s="69" t="s">
        <v>58</v>
      </c>
      <c r="S57" s="69" t="s">
        <v>16</v>
      </c>
    </row>
    <row r="58" spans="1:19" ht="15" x14ac:dyDescent="0.3">
      <c r="A58" s="68">
        <v>44944</v>
      </c>
      <c r="B58" s="68">
        <v>45743</v>
      </c>
      <c r="C58" s="69" t="s">
        <v>210</v>
      </c>
      <c r="D58" s="70">
        <v>0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69" t="s">
        <v>25</v>
      </c>
      <c r="N58" s="69" t="s">
        <v>211</v>
      </c>
      <c r="O58" s="69" t="s">
        <v>212</v>
      </c>
      <c r="P58" s="69" t="s">
        <v>213</v>
      </c>
      <c r="Q58" s="69" t="s">
        <v>57</v>
      </c>
      <c r="R58" s="69" t="s">
        <v>58</v>
      </c>
      <c r="S58" s="69" t="s">
        <v>16</v>
      </c>
    </row>
    <row r="59" spans="1:19" ht="15" x14ac:dyDescent="0.3">
      <c r="A59" s="68">
        <v>44974</v>
      </c>
      <c r="B59" s="68">
        <v>45300</v>
      </c>
      <c r="C59" s="69" t="s">
        <v>214</v>
      </c>
      <c r="D59" s="70">
        <v>0</v>
      </c>
      <c r="E59" s="70">
        <v>0</v>
      </c>
      <c r="F59" s="70">
        <v>0</v>
      </c>
      <c r="G59" s="70">
        <v>0</v>
      </c>
      <c r="H59" s="70">
        <v>18262.63</v>
      </c>
      <c r="I59" s="70">
        <v>18262.63</v>
      </c>
      <c r="J59" s="70">
        <v>0</v>
      </c>
      <c r="K59" s="70">
        <v>18262.63</v>
      </c>
      <c r="L59" s="70">
        <v>1565.45</v>
      </c>
      <c r="M59" s="69" t="s">
        <v>24</v>
      </c>
      <c r="N59" s="69" t="s">
        <v>54</v>
      </c>
      <c r="O59" s="69" t="s">
        <v>215</v>
      </c>
      <c r="P59" s="69" t="s">
        <v>216</v>
      </c>
      <c r="Q59" s="69" t="s">
        <v>57</v>
      </c>
      <c r="R59" s="69" t="s">
        <v>58</v>
      </c>
      <c r="S59" s="69" t="s">
        <v>16</v>
      </c>
    </row>
    <row r="60" spans="1:19" ht="15" x14ac:dyDescent="0.3">
      <c r="A60" s="68">
        <v>44955</v>
      </c>
      <c r="B60" s="68">
        <v>45499</v>
      </c>
      <c r="C60" s="69" t="s">
        <v>217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69" t="s">
        <v>24</v>
      </c>
      <c r="N60" s="69" t="s">
        <v>158</v>
      </c>
      <c r="O60" s="69" t="s">
        <v>218</v>
      </c>
      <c r="P60" s="69" t="s">
        <v>219</v>
      </c>
      <c r="Q60" s="69" t="s">
        <v>57</v>
      </c>
      <c r="R60" s="69" t="s">
        <v>58</v>
      </c>
      <c r="S60" s="69" t="s">
        <v>16</v>
      </c>
    </row>
    <row r="61" spans="1:19" ht="15" x14ac:dyDescent="0.3">
      <c r="A61" s="68">
        <v>44906</v>
      </c>
      <c r="B61" s="68">
        <v>45063</v>
      </c>
      <c r="C61" s="69" t="s">
        <v>220</v>
      </c>
      <c r="D61" s="70">
        <v>0</v>
      </c>
      <c r="E61" s="70">
        <v>0</v>
      </c>
      <c r="F61" s="70">
        <v>0</v>
      </c>
      <c r="G61" s="70">
        <v>0</v>
      </c>
      <c r="H61" s="70">
        <v>1300</v>
      </c>
      <c r="I61" s="70">
        <v>1300</v>
      </c>
      <c r="J61" s="70">
        <v>0</v>
      </c>
      <c r="K61" s="70">
        <v>1300</v>
      </c>
      <c r="L61" s="70">
        <v>0</v>
      </c>
      <c r="M61" s="69" t="s">
        <v>24</v>
      </c>
      <c r="N61" s="69" t="s">
        <v>54</v>
      </c>
      <c r="O61" s="69" t="s">
        <v>221</v>
      </c>
      <c r="P61" s="69" t="s">
        <v>222</v>
      </c>
      <c r="Q61" s="69" t="s">
        <v>57</v>
      </c>
      <c r="R61" s="69" t="s">
        <v>58</v>
      </c>
      <c r="S61" s="69" t="s">
        <v>16</v>
      </c>
    </row>
    <row r="62" spans="1:19" ht="15" x14ac:dyDescent="0.3">
      <c r="A62" s="68">
        <v>44930</v>
      </c>
      <c r="B62" s="68">
        <v>45681</v>
      </c>
      <c r="C62" s="69" t="s">
        <v>223</v>
      </c>
      <c r="D62" s="70">
        <v>0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69" t="s">
        <v>25</v>
      </c>
      <c r="N62" s="69" t="s">
        <v>60</v>
      </c>
      <c r="O62" s="69" t="s">
        <v>224</v>
      </c>
      <c r="P62" s="69" t="s">
        <v>225</v>
      </c>
      <c r="Q62" s="69" t="s">
        <v>57</v>
      </c>
      <c r="R62" s="69" t="s">
        <v>58</v>
      </c>
      <c r="S62" s="69" t="s">
        <v>16</v>
      </c>
    </row>
    <row r="63" spans="1:19" ht="15" x14ac:dyDescent="0.3">
      <c r="A63" s="68">
        <v>45034</v>
      </c>
      <c r="B63" s="68">
        <v>45090</v>
      </c>
      <c r="C63" s="69" t="s">
        <v>226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69" t="s">
        <v>24</v>
      </c>
      <c r="N63" s="69" t="s">
        <v>211</v>
      </c>
      <c r="O63" s="69" t="s">
        <v>227</v>
      </c>
      <c r="P63" s="69" t="s">
        <v>228</v>
      </c>
      <c r="Q63" s="69" t="s">
        <v>57</v>
      </c>
      <c r="R63" s="69" t="s">
        <v>58</v>
      </c>
      <c r="S63" s="69" t="s">
        <v>16</v>
      </c>
    </row>
    <row r="64" spans="1:19" ht="15" x14ac:dyDescent="0.3">
      <c r="A64" s="68">
        <v>45072</v>
      </c>
      <c r="B64" s="68">
        <v>45125</v>
      </c>
      <c r="C64" s="69" t="s">
        <v>229</v>
      </c>
      <c r="D64" s="70">
        <v>0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69" t="s">
        <v>25</v>
      </c>
      <c r="N64" s="69" t="s">
        <v>158</v>
      </c>
      <c r="O64" s="69" t="s">
        <v>230</v>
      </c>
      <c r="P64" s="69" t="s">
        <v>231</v>
      </c>
      <c r="Q64" s="69" t="s">
        <v>57</v>
      </c>
      <c r="R64" s="69" t="s">
        <v>58</v>
      </c>
      <c r="S64" s="69" t="s">
        <v>16</v>
      </c>
    </row>
    <row r="65" spans="1:19" ht="15" x14ac:dyDescent="0.3">
      <c r="A65" s="68">
        <v>45097</v>
      </c>
      <c r="B65" s="68">
        <v>45511</v>
      </c>
      <c r="C65" s="69" t="s">
        <v>232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69" t="s">
        <v>25</v>
      </c>
      <c r="N65" s="69" t="s">
        <v>60</v>
      </c>
      <c r="O65" s="69" t="s">
        <v>233</v>
      </c>
      <c r="P65" s="69" t="s">
        <v>234</v>
      </c>
      <c r="Q65" s="69" t="s">
        <v>57</v>
      </c>
      <c r="R65" s="69" t="s">
        <v>58</v>
      </c>
      <c r="S65" s="69" t="s">
        <v>16</v>
      </c>
    </row>
    <row r="66" spans="1:19" ht="15" x14ac:dyDescent="0.3">
      <c r="A66" s="68">
        <v>45001</v>
      </c>
      <c r="B66" s="68">
        <v>45355</v>
      </c>
      <c r="C66" s="69" t="s">
        <v>235</v>
      </c>
      <c r="D66" s="70">
        <v>0</v>
      </c>
      <c r="E66" s="70">
        <v>0</v>
      </c>
      <c r="F66" s="70">
        <v>0</v>
      </c>
      <c r="G66" s="70">
        <v>0</v>
      </c>
      <c r="H66" s="70">
        <v>0</v>
      </c>
      <c r="I66" s="70">
        <v>0</v>
      </c>
      <c r="J66" s="70">
        <v>0</v>
      </c>
      <c r="K66" s="70">
        <v>0</v>
      </c>
      <c r="L66" s="70">
        <v>0</v>
      </c>
      <c r="M66" s="69" t="s">
        <v>25</v>
      </c>
      <c r="N66" s="69" t="s">
        <v>60</v>
      </c>
      <c r="O66" s="69" t="s">
        <v>236</v>
      </c>
      <c r="P66" s="69" t="s">
        <v>237</v>
      </c>
      <c r="Q66" s="69" t="s">
        <v>57</v>
      </c>
      <c r="R66" s="69" t="s">
        <v>58</v>
      </c>
      <c r="S66" s="69" t="s">
        <v>16</v>
      </c>
    </row>
    <row r="67" spans="1:19" ht="15" x14ac:dyDescent="0.3">
      <c r="A67" s="68">
        <v>45117</v>
      </c>
      <c r="B67" s="68">
        <v>45138</v>
      </c>
      <c r="C67" s="69" t="s">
        <v>238</v>
      </c>
      <c r="D67" s="70">
        <v>0</v>
      </c>
      <c r="E67" s="70">
        <v>0</v>
      </c>
      <c r="F67" s="70">
        <v>0</v>
      </c>
      <c r="G67" s="70">
        <v>0</v>
      </c>
      <c r="H67" s="70">
        <v>124.99</v>
      </c>
      <c r="I67" s="70">
        <v>124.99</v>
      </c>
      <c r="J67" s="70">
        <v>0</v>
      </c>
      <c r="K67" s="70">
        <v>124.99</v>
      </c>
      <c r="L67" s="70">
        <v>0</v>
      </c>
      <c r="M67" s="69" t="s">
        <v>24</v>
      </c>
      <c r="N67" s="69" t="s">
        <v>54</v>
      </c>
      <c r="O67" s="69" t="s">
        <v>239</v>
      </c>
      <c r="P67" s="69" t="s">
        <v>240</v>
      </c>
      <c r="Q67" s="69" t="s">
        <v>57</v>
      </c>
      <c r="R67" s="69" t="s">
        <v>58</v>
      </c>
      <c r="S67" s="69" t="s">
        <v>16</v>
      </c>
    </row>
    <row r="68" spans="1:19" ht="15" x14ac:dyDescent="0.3">
      <c r="A68" s="68">
        <v>45095</v>
      </c>
      <c r="B68" s="68">
        <v>45250</v>
      </c>
      <c r="C68" s="69" t="s">
        <v>241</v>
      </c>
      <c r="D68" s="70">
        <v>0</v>
      </c>
      <c r="E68" s="70">
        <v>0</v>
      </c>
      <c r="F68" s="70">
        <v>0</v>
      </c>
      <c r="G68" s="70">
        <v>0</v>
      </c>
      <c r="H68" s="70">
        <v>50.9</v>
      </c>
      <c r="I68" s="70">
        <v>50.9</v>
      </c>
      <c r="J68" s="70">
        <v>0</v>
      </c>
      <c r="K68" s="70">
        <v>50.9</v>
      </c>
      <c r="L68" s="70">
        <v>0</v>
      </c>
      <c r="M68" s="69" t="s">
        <v>24</v>
      </c>
      <c r="N68" s="69" t="s">
        <v>54</v>
      </c>
      <c r="O68" s="69" t="s">
        <v>242</v>
      </c>
      <c r="P68" s="69" t="s">
        <v>243</v>
      </c>
      <c r="Q68" s="69" t="s">
        <v>57</v>
      </c>
      <c r="R68" s="69" t="s">
        <v>58</v>
      </c>
      <c r="S68" s="69" t="s">
        <v>16</v>
      </c>
    </row>
    <row r="69" spans="1:19" ht="15" x14ac:dyDescent="0.3">
      <c r="A69" s="68">
        <v>44849</v>
      </c>
      <c r="B69" s="68">
        <v>45280</v>
      </c>
      <c r="C69" s="69" t="s">
        <v>244</v>
      </c>
      <c r="D69" s="70">
        <v>0</v>
      </c>
      <c r="E69" s="70">
        <v>0</v>
      </c>
      <c r="F69" s="70">
        <v>0</v>
      </c>
      <c r="G69" s="70">
        <v>0</v>
      </c>
      <c r="H69" s="70">
        <v>692.57</v>
      </c>
      <c r="I69" s="70">
        <v>692.57</v>
      </c>
      <c r="J69" s="70">
        <v>0</v>
      </c>
      <c r="K69" s="70">
        <v>692.57</v>
      </c>
      <c r="L69" s="70">
        <v>0</v>
      </c>
      <c r="M69" s="69" t="s">
        <v>25</v>
      </c>
      <c r="N69" s="69" t="s">
        <v>54</v>
      </c>
      <c r="O69" s="69" t="s">
        <v>245</v>
      </c>
      <c r="P69" s="69" t="s">
        <v>246</v>
      </c>
      <c r="Q69" s="69" t="s">
        <v>57</v>
      </c>
      <c r="R69" s="69" t="s">
        <v>58</v>
      </c>
      <c r="S69" s="69" t="s">
        <v>16</v>
      </c>
    </row>
    <row r="70" spans="1:19" ht="15" x14ac:dyDescent="0.3">
      <c r="A70" s="68">
        <v>45094</v>
      </c>
      <c r="B70" s="68">
        <v>45205</v>
      </c>
      <c r="C70" s="69" t="s">
        <v>247</v>
      </c>
      <c r="D70" s="70">
        <v>0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69" t="s">
        <v>24</v>
      </c>
      <c r="N70" s="69" t="s">
        <v>60</v>
      </c>
      <c r="O70" s="69" t="s">
        <v>248</v>
      </c>
      <c r="P70" s="69" t="s">
        <v>249</v>
      </c>
      <c r="Q70" s="69" t="s">
        <v>57</v>
      </c>
      <c r="R70" s="69" t="s">
        <v>58</v>
      </c>
      <c r="S70" s="69" t="s">
        <v>16</v>
      </c>
    </row>
    <row r="71" spans="1:19" ht="15" x14ac:dyDescent="0.3">
      <c r="A71" s="68">
        <v>44946</v>
      </c>
      <c r="B71" s="68">
        <v>45275</v>
      </c>
      <c r="C71" s="69" t="s">
        <v>250</v>
      </c>
      <c r="D71" s="70">
        <v>0</v>
      </c>
      <c r="E71" s="70">
        <v>0</v>
      </c>
      <c r="F71" s="70">
        <v>0</v>
      </c>
      <c r="G71" s="70">
        <v>0</v>
      </c>
      <c r="H71" s="70">
        <v>422.55</v>
      </c>
      <c r="I71" s="70">
        <v>422.55</v>
      </c>
      <c r="J71" s="70">
        <v>0</v>
      </c>
      <c r="K71" s="70">
        <v>422.55</v>
      </c>
      <c r="L71" s="70">
        <v>0</v>
      </c>
      <c r="M71" s="69" t="s">
        <v>25</v>
      </c>
      <c r="N71" s="69" t="s">
        <v>54</v>
      </c>
      <c r="O71" s="69" t="s">
        <v>251</v>
      </c>
      <c r="P71" s="69" t="s">
        <v>252</v>
      </c>
      <c r="Q71" s="69" t="s">
        <v>57</v>
      </c>
      <c r="R71" s="69" t="s">
        <v>58</v>
      </c>
      <c r="S71" s="69" t="s">
        <v>16</v>
      </c>
    </row>
    <row r="72" spans="1:19" ht="15" x14ac:dyDescent="0.3">
      <c r="A72" s="68">
        <v>45150</v>
      </c>
      <c r="B72" s="68">
        <v>45506</v>
      </c>
      <c r="C72" s="69" t="s">
        <v>253</v>
      </c>
      <c r="D72" s="70">
        <v>0</v>
      </c>
      <c r="E72" s="70">
        <v>0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69" t="s">
        <v>24</v>
      </c>
      <c r="N72" s="69" t="s">
        <v>60</v>
      </c>
      <c r="O72" s="69" t="s">
        <v>254</v>
      </c>
      <c r="P72" s="69" t="s">
        <v>255</v>
      </c>
      <c r="Q72" s="69" t="s">
        <v>57</v>
      </c>
      <c r="R72" s="69" t="s">
        <v>58</v>
      </c>
      <c r="S72" s="69" t="s">
        <v>16</v>
      </c>
    </row>
    <row r="73" spans="1:19" ht="15" x14ac:dyDescent="0.3">
      <c r="A73" s="68">
        <v>45157</v>
      </c>
      <c r="B73" s="68">
        <v>45231</v>
      </c>
      <c r="C73" s="69" t="s">
        <v>256</v>
      </c>
      <c r="D73" s="70">
        <v>0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69" t="s">
        <v>25</v>
      </c>
      <c r="N73" s="69" t="s">
        <v>211</v>
      </c>
      <c r="O73" s="69" t="s">
        <v>257</v>
      </c>
      <c r="P73" s="69" t="s">
        <v>258</v>
      </c>
      <c r="Q73" s="69" t="s">
        <v>57</v>
      </c>
      <c r="R73" s="69" t="s">
        <v>58</v>
      </c>
      <c r="S73" s="69" t="s">
        <v>16</v>
      </c>
    </row>
    <row r="74" spans="1:19" ht="15" x14ac:dyDescent="0.3">
      <c r="A74" s="68">
        <v>45134</v>
      </c>
      <c r="B74" s="68">
        <v>45322</v>
      </c>
      <c r="C74" s="69" t="s">
        <v>259</v>
      </c>
      <c r="D74" s="70">
        <v>0</v>
      </c>
      <c r="E74" s="70">
        <v>0</v>
      </c>
      <c r="F74" s="70">
        <v>0</v>
      </c>
      <c r="G74" s="70">
        <v>0</v>
      </c>
      <c r="H74" s="70">
        <v>150</v>
      </c>
      <c r="I74" s="70">
        <v>150</v>
      </c>
      <c r="J74" s="70">
        <v>0</v>
      </c>
      <c r="K74" s="70">
        <v>150</v>
      </c>
      <c r="L74" s="70">
        <v>0</v>
      </c>
      <c r="M74" s="69" t="s">
        <v>24</v>
      </c>
      <c r="N74" s="69" t="s">
        <v>54</v>
      </c>
      <c r="O74" s="69" t="s">
        <v>260</v>
      </c>
      <c r="P74" s="69" t="s">
        <v>261</v>
      </c>
      <c r="Q74" s="69" t="s">
        <v>57</v>
      </c>
      <c r="R74" s="69" t="s">
        <v>58</v>
      </c>
      <c r="S74" s="69" t="s">
        <v>16</v>
      </c>
    </row>
    <row r="75" spans="1:19" ht="15" x14ac:dyDescent="0.3">
      <c r="A75" s="68">
        <v>45157</v>
      </c>
      <c r="B75" s="68">
        <v>45349</v>
      </c>
      <c r="C75" s="69" t="s">
        <v>262</v>
      </c>
      <c r="D75" s="70">
        <v>0</v>
      </c>
      <c r="E75" s="70">
        <v>0</v>
      </c>
      <c r="F75" s="70">
        <v>0</v>
      </c>
      <c r="G75" s="70">
        <v>0</v>
      </c>
      <c r="H75" s="70">
        <v>6646.32</v>
      </c>
      <c r="I75" s="70">
        <v>6646.32</v>
      </c>
      <c r="J75" s="70">
        <v>0</v>
      </c>
      <c r="K75" s="70">
        <v>6646.32</v>
      </c>
      <c r="L75" s="70">
        <v>0</v>
      </c>
      <c r="M75" s="69" t="s">
        <v>24</v>
      </c>
      <c r="N75" s="69" t="s">
        <v>54</v>
      </c>
      <c r="O75" s="69" t="s">
        <v>263</v>
      </c>
      <c r="P75" s="69" t="s">
        <v>264</v>
      </c>
      <c r="Q75" s="69" t="s">
        <v>57</v>
      </c>
      <c r="R75" s="69" t="s">
        <v>58</v>
      </c>
      <c r="S75" s="69" t="s">
        <v>16</v>
      </c>
    </row>
    <row r="76" spans="1:19" ht="15" x14ac:dyDescent="0.3">
      <c r="A76" s="68">
        <v>45218</v>
      </c>
      <c r="B76" s="68">
        <v>45386</v>
      </c>
      <c r="C76" s="69" t="s">
        <v>265</v>
      </c>
      <c r="D76" s="70">
        <v>0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69" t="s">
        <v>24</v>
      </c>
      <c r="N76" s="69" t="s">
        <v>114</v>
      </c>
      <c r="O76" s="69" t="s">
        <v>266</v>
      </c>
      <c r="P76" s="69" t="s">
        <v>267</v>
      </c>
      <c r="Q76" s="69" t="s">
        <v>57</v>
      </c>
      <c r="R76" s="69" t="s">
        <v>58</v>
      </c>
      <c r="S76" s="69" t="s">
        <v>16</v>
      </c>
    </row>
    <row r="77" spans="1:19" ht="15" x14ac:dyDescent="0.3">
      <c r="A77" s="68">
        <v>45191</v>
      </c>
      <c r="B77" s="68">
        <v>45265</v>
      </c>
      <c r="C77" s="69" t="s">
        <v>268</v>
      </c>
      <c r="D77" s="70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0</v>
      </c>
      <c r="M77" s="69" t="s">
        <v>24</v>
      </c>
      <c r="N77" s="69" t="s">
        <v>60</v>
      </c>
      <c r="O77" s="69" t="s">
        <v>269</v>
      </c>
      <c r="P77" s="69" t="s">
        <v>270</v>
      </c>
      <c r="Q77" s="69" t="s">
        <v>57</v>
      </c>
      <c r="R77" s="69" t="s">
        <v>58</v>
      </c>
      <c r="S77" s="69" t="s">
        <v>16</v>
      </c>
    </row>
    <row r="78" spans="1:19" ht="15" x14ac:dyDescent="0.3">
      <c r="A78" s="68">
        <v>45153</v>
      </c>
      <c r="B78" s="68">
        <v>45257</v>
      </c>
      <c r="C78" s="69" t="s">
        <v>271</v>
      </c>
      <c r="D78" s="70">
        <v>0</v>
      </c>
      <c r="E78" s="70">
        <v>0</v>
      </c>
      <c r="F78" s="70">
        <v>0</v>
      </c>
      <c r="G78" s="70">
        <v>0</v>
      </c>
      <c r="H78" s="70">
        <v>269</v>
      </c>
      <c r="I78" s="70">
        <v>269</v>
      </c>
      <c r="J78" s="70">
        <v>0</v>
      </c>
      <c r="K78" s="70">
        <v>269</v>
      </c>
      <c r="L78" s="70">
        <v>0</v>
      </c>
      <c r="M78" s="69" t="s">
        <v>24</v>
      </c>
      <c r="N78" s="69" t="s">
        <v>54</v>
      </c>
      <c r="O78" s="69" t="s">
        <v>272</v>
      </c>
      <c r="P78" s="69" t="s">
        <v>273</v>
      </c>
      <c r="Q78" s="69" t="s">
        <v>57</v>
      </c>
      <c r="R78" s="69" t="s">
        <v>58</v>
      </c>
      <c r="S78" s="69" t="s">
        <v>16</v>
      </c>
    </row>
    <row r="79" spans="1:19" ht="15" x14ac:dyDescent="0.3">
      <c r="A79" s="68">
        <v>45239</v>
      </c>
      <c r="B79" s="68">
        <v>45723</v>
      </c>
      <c r="C79" s="69" t="s">
        <v>274</v>
      </c>
      <c r="D79" s="70">
        <v>0</v>
      </c>
      <c r="E79" s="70">
        <v>0</v>
      </c>
      <c r="F79" s="70">
        <v>0</v>
      </c>
      <c r="G79" s="70">
        <v>0</v>
      </c>
      <c r="H79" s="70">
        <v>128.91999999999999</v>
      </c>
      <c r="I79" s="70">
        <v>128.91999999999999</v>
      </c>
      <c r="J79" s="70">
        <v>0</v>
      </c>
      <c r="K79" s="70">
        <v>128.91999999999999</v>
      </c>
      <c r="L79" s="70">
        <v>0</v>
      </c>
      <c r="M79" s="69" t="s">
        <v>24</v>
      </c>
      <c r="N79" s="69" t="s">
        <v>54</v>
      </c>
      <c r="O79" s="69" t="s">
        <v>275</v>
      </c>
      <c r="P79" s="69" t="s">
        <v>276</v>
      </c>
      <c r="Q79" s="69" t="s">
        <v>57</v>
      </c>
      <c r="R79" s="69" t="s">
        <v>58</v>
      </c>
      <c r="S79" s="69" t="s">
        <v>16</v>
      </c>
    </row>
    <row r="80" spans="1:19" ht="15" x14ac:dyDescent="0.3">
      <c r="A80" s="68">
        <v>45216</v>
      </c>
      <c r="B80" s="68">
        <v>45741</v>
      </c>
      <c r="C80" s="69" t="s">
        <v>277</v>
      </c>
      <c r="D80" s="70">
        <v>0</v>
      </c>
      <c r="E80" s="70">
        <v>0</v>
      </c>
      <c r="F80" s="70">
        <v>0</v>
      </c>
      <c r="G80" s="70">
        <v>0</v>
      </c>
      <c r="H80" s="70">
        <v>835.96</v>
      </c>
      <c r="I80" s="70">
        <v>835.96</v>
      </c>
      <c r="J80" s="70">
        <v>0</v>
      </c>
      <c r="K80" s="70">
        <v>835.96</v>
      </c>
      <c r="L80" s="70">
        <v>0</v>
      </c>
      <c r="M80" s="69" t="s">
        <v>24</v>
      </c>
      <c r="N80" s="69" t="s">
        <v>54</v>
      </c>
      <c r="O80" s="69" t="s">
        <v>278</v>
      </c>
      <c r="P80" s="69" t="s">
        <v>279</v>
      </c>
      <c r="Q80" s="69" t="s">
        <v>57</v>
      </c>
      <c r="R80" s="69" t="s">
        <v>58</v>
      </c>
      <c r="S80" s="69" t="s">
        <v>16</v>
      </c>
    </row>
    <row r="81" spans="1:19" ht="15" x14ac:dyDescent="0.3">
      <c r="A81" s="68">
        <v>45100</v>
      </c>
      <c r="B81" s="68">
        <v>45503</v>
      </c>
      <c r="C81" s="69" t="s">
        <v>280</v>
      </c>
      <c r="D81" s="70">
        <v>0</v>
      </c>
      <c r="E81" s="70">
        <v>0</v>
      </c>
      <c r="F81" s="70">
        <v>0</v>
      </c>
      <c r="G81" s="70">
        <v>0</v>
      </c>
      <c r="H81" s="70">
        <v>1150</v>
      </c>
      <c r="I81" s="70">
        <v>1150</v>
      </c>
      <c r="J81" s="70">
        <v>0</v>
      </c>
      <c r="K81" s="70">
        <v>1150</v>
      </c>
      <c r="L81" s="70">
        <v>0</v>
      </c>
      <c r="M81" s="69" t="s">
        <v>24</v>
      </c>
      <c r="N81" s="69" t="s">
        <v>54</v>
      </c>
      <c r="O81" s="69" t="s">
        <v>281</v>
      </c>
      <c r="P81" s="69" t="s">
        <v>282</v>
      </c>
      <c r="Q81" s="69" t="s">
        <v>57</v>
      </c>
      <c r="R81" s="69" t="s">
        <v>58</v>
      </c>
      <c r="S81" s="69" t="s">
        <v>16</v>
      </c>
    </row>
    <row r="82" spans="1:19" ht="15" x14ac:dyDescent="0.3">
      <c r="A82" s="68">
        <v>45273</v>
      </c>
      <c r="B82" s="69"/>
      <c r="C82" s="69" t="s">
        <v>283</v>
      </c>
      <c r="D82" s="70">
        <v>0</v>
      </c>
      <c r="E82" s="70">
        <v>0</v>
      </c>
      <c r="F82" s="70">
        <v>0</v>
      </c>
      <c r="G82" s="70">
        <v>2300</v>
      </c>
      <c r="H82" s="70">
        <v>300</v>
      </c>
      <c r="I82" s="70">
        <v>2600</v>
      </c>
      <c r="J82" s="70">
        <v>0</v>
      </c>
      <c r="K82" s="70">
        <v>2600</v>
      </c>
      <c r="L82" s="70">
        <v>0</v>
      </c>
      <c r="M82" s="69" t="s">
        <v>24</v>
      </c>
      <c r="N82" s="69" t="s">
        <v>54</v>
      </c>
      <c r="O82" s="69" t="s">
        <v>284</v>
      </c>
      <c r="P82" s="69" t="s">
        <v>285</v>
      </c>
      <c r="Q82" s="69" t="s">
        <v>57</v>
      </c>
      <c r="R82" s="69" t="s">
        <v>58</v>
      </c>
      <c r="S82" s="69" t="s">
        <v>16</v>
      </c>
    </row>
    <row r="83" spans="1:19" ht="15" x14ac:dyDescent="0.3">
      <c r="A83" s="68">
        <v>45275</v>
      </c>
      <c r="B83" s="68">
        <v>45323</v>
      </c>
      <c r="C83" s="69" t="s">
        <v>286</v>
      </c>
      <c r="D83" s="70">
        <v>0</v>
      </c>
      <c r="E83" s="70">
        <v>0</v>
      </c>
      <c r="F83" s="70">
        <v>0</v>
      </c>
      <c r="G83" s="70">
        <v>0</v>
      </c>
      <c r="H83" s="70">
        <v>0</v>
      </c>
      <c r="I83" s="70">
        <v>0</v>
      </c>
      <c r="J83" s="70">
        <v>0</v>
      </c>
      <c r="K83" s="70">
        <v>0</v>
      </c>
      <c r="L83" s="70">
        <v>0</v>
      </c>
      <c r="M83" s="69" t="s">
        <v>24</v>
      </c>
      <c r="N83" s="69" t="s">
        <v>60</v>
      </c>
      <c r="O83" s="69" t="s">
        <v>287</v>
      </c>
      <c r="P83" s="69" t="s">
        <v>288</v>
      </c>
      <c r="Q83" s="69" t="s">
        <v>57</v>
      </c>
      <c r="R83" s="69" t="s">
        <v>58</v>
      </c>
      <c r="S83" s="69" t="s">
        <v>16</v>
      </c>
    </row>
    <row r="84" spans="1:19" ht="15" x14ac:dyDescent="0.3">
      <c r="A84" s="68">
        <v>45259</v>
      </c>
      <c r="B84" s="68">
        <v>45320</v>
      </c>
      <c r="C84" s="69" t="s">
        <v>289</v>
      </c>
      <c r="D84" s="70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69" t="s">
        <v>25</v>
      </c>
      <c r="N84" s="69" t="s">
        <v>158</v>
      </c>
      <c r="O84" s="69" t="s">
        <v>290</v>
      </c>
      <c r="P84" s="69" t="s">
        <v>291</v>
      </c>
      <c r="Q84" s="69" t="s">
        <v>292</v>
      </c>
      <c r="R84" s="69" t="s">
        <v>58</v>
      </c>
      <c r="S84" s="69" t="s">
        <v>16</v>
      </c>
    </row>
    <row r="85" spans="1:19" ht="15" x14ac:dyDescent="0.3">
      <c r="A85" s="68">
        <v>45264</v>
      </c>
      <c r="B85" s="68">
        <v>45348</v>
      </c>
      <c r="C85" s="69" t="s">
        <v>293</v>
      </c>
      <c r="D85" s="70">
        <v>0</v>
      </c>
      <c r="E85" s="70">
        <v>0</v>
      </c>
      <c r="F85" s="70">
        <v>0</v>
      </c>
      <c r="G85" s="70">
        <v>0</v>
      </c>
      <c r="H85" s="70">
        <v>2745</v>
      </c>
      <c r="I85" s="70">
        <v>2745</v>
      </c>
      <c r="J85" s="70">
        <v>0</v>
      </c>
      <c r="K85" s="70">
        <v>2745</v>
      </c>
      <c r="L85" s="70">
        <v>0</v>
      </c>
      <c r="M85" s="69" t="s">
        <v>24</v>
      </c>
      <c r="N85" s="69" t="s">
        <v>54</v>
      </c>
      <c r="O85" s="69" t="s">
        <v>294</v>
      </c>
      <c r="P85" s="69" t="s">
        <v>295</v>
      </c>
      <c r="Q85" s="69" t="s">
        <v>57</v>
      </c>
      <c r="R85" s="69" t="s">
        <v>58</v>
      </c>
      <c r="S85" s="69" t="s">
        <v>16</v>
      </c>
    </row>
    <row r="86" spans="1:19" ht="15" x14ac:dyDescent="0.3">
      <c r="A86" s="68">
        <v>45308</v>
      </c>
      <c r="B86" s="69"/>
      <c r="C86" s="69" t="s">
        <v>296</v>
      </c>
      <c r="D86" s="70">
        <v>0</v>
      </c>
      <c r="E86" s="70">
        <v>0</v>
      </c>
      <c r="F86" s="70">
        <v>0</v>
      </c>
      <c r="G86" s="70">
        <v>7430.88</v>
      </c>
      <c r="H86" s="70">
        <v>1569.12</v>
      </c>
      <c r="I86" s="70">
        <v>9000</v>
      </c>
      <c r="J86" s="70">
        <v>0</v>
      </c>
      <c r="K86" s="70">
        <v>9000</v>
      </c>
      <c r="L86" s="70">
        <v>0</v>
      </c>
      <c r="M86" s="69" t="s">
        <v>25</v>
      </c>
      <c r="N86" s="69" t="s">
        <v>151</v>
      </c>
      <c r="O86" s="69" t="s">
        <v>297</v>
      </c>
      <c r="P86" s="69" t="s">
        <v>298</v>
      </c>
      <c r="Q86" s="69" t="s">
        <v>57</v>
      </c>
      <c r="R86" s="69" t="s">
        <v>58</v>
      </c>
      <c r="S86" s="69" t="s">
        <v>16</v>
      </c>
    </row>
    <row r="87" spans="1:19" ht="15" x14ac:dyDescent="0.3">
      <c r="A87" s="68">
        <v>45323</v>
      </c>
      <c r="B87" s="68">
        <v>45453</v>
      </c>
      <c r="C87" s="69" t="s">
        <v>299</v>
      </c>
      <c r="D87" s="70">
        <v>0</v>
      </c>
      <c r="E87" s="70">
        <v>0</v>
      </c>
      <c r="F87" s="70">
        <v>0</v>
      </c>
      <c r="G87" s="70">
        <v>0</v>
      </c>
      <c r="H87" s="70">
        <v>533</v>
      </c>
      <c r="I87" s="70">
        <v>533</v>
      </c>
      <c r="J87" s="70">
        <v>0</v>
      </c>
      <c r="K87" s="70">
        <v>533</v>
      </c>
      <c r="L87" s="70">
        <v>0</v>
      </c>
      <c r="M87" s="69" t="s">
        <v>24</v>
      </c>
      <c r="N87" s="69" t="s">
        <v>54</v>
      </c>
      <c r="O87" s="69" t="s">
        <v>300</v>
      </c>
      <c r="P87" s="69" t="s">
        <v>301</v>
      </c>
      <c r="Q87" s="69" t="s">
        <v>57</v>
      </c>
      <c r="R87" s="69" t="s">
        <v>58</v>
      </c>
      <c r="S87" s="69" t="s">
        <v>16</v>
      </c>
    </row>
    <row r="88" spans="1:19" ht="15" x14ac:dyDescent="0.3">
      <c r="A88" s="68">
        <v>45358</v>
      </c>
      <c r="B88" s="68">
        <v>45625</v>
      </c>
      <c r="C88" s="69" t="s">
        <v>302</v>
      </c>
      <c r="D88" s="70">
        <v>0</v>
      </c>
      <c r="E88" s="70">
        <v>0</v>
      </c>
      <c r="F88" s="70">
        <v>0</v>
      </c>
      <c r="G88" s="70">
        <v>0</v>
      </c>
      <c r="H88" s="70">
        <v>1283.28</v>
      </c>
      <c r="I88" s="70">
        <v>1283.28</v>
      </c>
      <c r="J88" s="70">
        <v>0</v>
      </c>
      <c r="K88" s="70">
        <v>1283.28</v>
      </c>
      <c r="L88" s="70">
        <v>0</v>
      </c>
      <c r="M88" s="69" t="s">
        <v>24</v>
      </c>
      <c r="N88" s="69" t="s">
        <v>54</v>
      </c>
      <c r="O88" s="69" t="s">
        <v>303</v>
      </c>
      <c r="P88" s="69" t="s">
        <v>304</v>
      </c>
      <c r="Q88" s="69" t="s">
        <v>57</v>
      </c>
      <c r="R88" s="69" t="s">
        <v>58</v>
      </c>
      <c r="S88" s="69" t="s">
        <v>16</v>
      </c>
    </row>
    <row r="89" spans="1:19" ht="15" x14ac:dyDescent="0.3">
      <c r="A89" s="68">
        <v>45299</v>
      </c>
      <c r="B89" s="68">
        <v>45662</v>
      </c>
      <c r="C89" s="69" t="s">
        <v>305</v>
      </c>
      <c r="D89" s="70">
        <v>0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69" t="s">
        <v>25</v>
      </c>
      <c r="N89" s="69" t="s">
        <v>114</v>
      </c>
      <c r="O89" s="69" t="s">
        <v>174</v>
      </c>
      <c r="P89" s="69" t="s">
        <v>306</v>
      </c>
      <c r="Q89" s="69" t="s">
        <v>57</v>
      </c>
      <c r="R89" s="69" t="s">
        <v>58</v>
      </c>
      <c r="S89" s="69" t="s">
        <v>16</v>
      </c>
    </row>
    <row r="90" spans="1:19" ht="15" x14ac:dyDescent="0.3">
      <c r="A90" s="68">
        <v>45384</v>
      </c>
      <c r="B90" s="68">
        <v>45411</v>
      </c>
      <c r="C90" s="69" t="s">
        <v>307</v>
      </c>
      <c r="D90" s="70">
        <v>0</v>
      </c>
      <c r="E90" s="70">
        <v>0</v>
      </c>
      <c r="F90" s="70">
        <v>0</v>
      </c>
      <c r="G90" s="70">
        <v>0</v>
      </c>
      <c r="H90" s="70">
        <v>200</v>
      </c>
      <c r="I90" s="70">
        <v>200</v>
      </c>
      <c r="J90" s="70">
        <v>0</v>
      </c>
      <c r="K90" s="70">
        <v>200</v>
      </c>
      <c r="L90" s="70">
        <v>0</v>
      </c>
      <c r="M90" s="69" t="s">
        <v>24</v>
      </c>
      <c r="N90" s="69" t="s">
        <v>54</v>
      </c>
      <c r="O90" s="69" t="s">
        <v>308</v>
      </c>
      <c r="P90" s="69" t="s">
        <v>309</v>
      </c>
      <c r="Q90" s="69" t="s">
        <v>57</v>
      </c>
      <c r="R90" s="69" t="s">
        <v>58</v>
      </c>
      <c r="S90" s="69" t="s">
        <v>16</v>
      </c>
    </row>
    <row r="91" spans="1:19" ht="15" x14ac:dyDescent="0.3">
      <c r="A91" s="68">
        <v>45371</v>
      </c>
      <c r="B91" s="68">
        <v>45456</v>
      </c>
      <c r="C91" s="69" t="s">
        <v>310</v>
      </c>
      <c r="D91" s="70">
        <v>0</v>
      </c>
      <c r="E91" s="70">
        <v>0</v>
      </c>
      <c r="F91" s="70">
        <v>0</v>
      </c>
      <c r="G91" s="70">
        <v>0</v>
      </c>
      <c r="H91" s="70">
        <v>240</v>
      </c>
      <c r="I91" s="70">
        <v>240</v>
      </c>
      <c r="J91" s="70">
        <v>0</v>
      </c>
      <c r="K91" s="70">
        <v>240</v>
      </c>
      <c r="L91" s="70">
        <v>0</v>
      </c>
      <c r="M91" s="69" t="s">
        <v>24</v>
      </c>
      <c r="N91" s="69" t="s">
        <v>54</v>
      </c>
      <c r="O91" s="69" t="s">
        <v>311</v>
      </c>
      <c r="P91" s="69" t="s">
        <v>312</v>
      </c>
      <c r="Q91" s="69" t="s">
        <v>57</v>
      </c>
      <c r="R91" s="69" t="s">
        <v>58</v>
      </c>
      <c r="S91" s="69" t="s">
        <v>16</v>
      </c>
    </row>
    <row r="92" spans="1:19" ht="15" x14ac:dyDescent="0.3">
      <c r="A92" s="68">
        <v>45264</v>
      </c>
      <c r="B92" s="69"/>
      <c r="C92" s="69" t="s">
        <v>313</v>
      </c>
      <c r="D92" s="70">
        <v>0</v>
      </c>
      <c r="E92" s="70">
        <v>0</v>
      </c>
      <c r="F92" s="70">
        <v>0</v>
      </c>
      <c r="G92" s="70">
        <v>26200</v>
      </c>
      <c r="H92" s="70">
        <v>3800</v>
      </c>
      <c r="I92" s="70">
        <v>30000</v>
      </c>
      <c r="J92" s="70">
        <v>0</v>
      </c>
      <c r="K92" s="70">
        <v>30000</v>
      </c>
      <c r="L92" s="70">
        <v>0</v>
      </c>
      <c r="M92" s="69" t="s">
        <v>25</v>
      </c>
      <c r="N92" s="69" t="s">
        <v>54</v>
      </c>
      <c r="O92" s="69" t="s">
        <v>314</v>
      </c>
      <c r="P92" s="69" t="s">
        <v>315</v>
      </c>
      <c r="Q92" s="69" t="s">
        <v>57</v>
      </c>
      <c r="R92" s="69" t="s">
        <v>58</v>
      </c>
      <c r="S92" s="69" t="s">
        <v>16</v>
      </c>
    </row>
    <row r="93" spans="1:19" ht="15" x14ac:dyDescent="0.3">
      <c r="A93" s="68">
        <v>45421</v>
      </c>
      <c r="B93" s="68">
        <v>45677</v>
      </c>
      <c r="C93" s="69" t="s">
        <v>316</v>
      </c>
      <c r="D93" s="70">
        <v>0</v>
      </c>
      <c r="E93" s="70">
        <v>0</v>
      </c>
      <c r="F93" s="70">
        <v>0</v>
      </c>
      <c r="G93" s="70">
        <v>0</v>
      </c>
      <c r="H93" s="70">
        <v>0</v>
      </c>
      <c r="I93" s="70">
        <v>0</v>
      </c>
      <c r="J93" s="70">
        <v>0</v>
      </c>
      <c r="K93" s="70">
        <v>0</v>
      </c>
      <c r="L93" s="70">
        <v>0</v>
      </c>
      <c r="M93" s="69" t="s">
        <v>25</v>
      </c>
      <c r="N93" s="69" t="s">
        <v>124</v>
      </c>
      <c r="O93" s="69" t="s">
        <v>317</v>
      </c>
      <c r="P93" s="69" t="s">
        <v>318</v>
      </c>
      <c r="Q93" s="69" t="s">
        <v>57</v>
      </c>
      <c r="R93" s="69" t="s">
        <v>58</v>
      </c>
      <c r="S93" s="69" t="s">
        <v>16</v>
      </c>
    </row>
    <row r="94" spans="1:19" ht="15" x14ac:dyDescent="0.3">
      <c r="A94" s="68">
        <v>45470</v>
      </c>
      <c r="B94" s="68">
        <v>45684</v>
      </c>
      <c r="C94" s="69" t="s">
        <v>280</v>
      </c>
      <c r="D94" s="70">
        <v>0</v>
      </c>
      <c r="E94" s="70">
        <v>0</v>
      </c>
      <c r="F94" s="70">
        <v>0</v>
      </c>
      <c r="G94" s="70">
        <v>0</v>
      </c>
      <c r="H94" s="70">
        <v>1500</v>
      </c>
      <c r="I94" s="70">
        <v>1500</v>
      </c>
      <c r="J94" s="70">
        <v>0</v>
      </c>
      <c r="K94" s="70">
        <v>1500</v>
      </c>
      <c r="L94" s="70">
        <v>0</v>
      </c>
      <c r="M94" s="69" t="s">
        <v>24</v>
      </c>
      <c r="N94" s="69" t="s">
        <v>54</v>
      </c>
      <c r="O94" s="69" t="s">
        <v>319</v>
      </c>
      <c r="P94" s="69" t="s">
        <v>320</v>
      </c>
      <c r="Q94" s="69" t="s">
        <v>57</v>
      </c>
      <c r="R94" s="69" t="s">
        <v>58</v>
      </c>
      <c r="S94" s="69" t="s">
        <v>16</v>
      </c>
    </row>
    <row r="95" spans="1:19" ht="15" x14ac:dyDescent="0.3">
      <c r="A95" s="68">
        <v>45307</v>
      </c>
      <c r="B95" s="68">
        <v>45896</v>
      </c>
      <c r="C95" s="69" t="s">
        <v>321</v>
      </c>
      <c r="D95" s="70">
        <v>0</v>
      </c>
      <c r="E95" s="70">
        <v>0</v>
      </c>
      <c r="F95" s="70">
        <v>0</v>
      </c>
      <c r="G95" s="70">
        <v>0</v>
      </c>
      <c r="H95" s="70">
        <v>1439.4</v>
      </c>
      <c r="I95" s="70">
        <v>1439.4</v>
      </c>
      <c r="J95" s="70">
        <v>0</v>
      </c>
      <c r="K95" s="70">
        <v>1439.4</v>
      </c>
      <c r="L95" s="70">
        <v>0</v>
      </c>
      <c r="M95" s="69" t="s">
        <v>25</v>
      </c>
      <c r="N95" s="69" t="s">
        <v>54</v>
      </c>
      <c r="O95" s="69" t="s">
        <v>322</v>
      </c>
      <c r="P95" s="69" t="s">
        <v>323</v>
      </c>
      <c r="Q95" s="69" t="s">
        <v>57</v>
      </c>
      <c r="R95" s="69" t="s">
        <v>58</v>
      </c>
      <c r="S95" s="69" t="s">
        <v>16</v>
      </c>
    </row>
    <row r="96" spans="1:19" ht="15" x14ac:dyDescent="0.3">
      <c r="A96" s="68">
        <v>45437</v>
      </c>
      <c r="B96" s="68">
        <v>46037</v>
      </c>
      <c r="C96" s="69" t="s">
        <v>324</v>
      </c>
      <c r="D96" s="70">
        <v>0</v>
      </c>
      <c r="E96" s="70">
        <v>0</v>
      </c>
      <c r="F96" s="70">
        <v>0</v>
      </c>
      <c r="G96" s="70">
        <v>0</v>
      </c>
      <c r="H96" s="70">
        <v>2570</v>
      </c>
      <c r="I96" s="70">
        <v>2570</v>
      </c>
      <c r="J96" s="70">
        <v>0</v>
      </c>
      <c r="K96" s="70">
        <v>2570</v>
      </c>
      <c r="L96" s="70">
        <v>0</v>
      </c>
      <c r="M96" s="69" t="s">
        <v>25</v>
      </c>
      <c r="N96" s="69" t="s">
        <v>54</v>
      </c>
      <c r="O96" s="69" t="s">
        <v>325</v>
      </c>
      <c r="P96" s="69" t="s">
        <v>326</v>
      </c>
      <c r="Q96" s="69" t="s">
        <v>57</v>
      </c>
      <c r="R96" s="69" t="s">
        <v>58</v>
      </c>
      <c r="S96" s="69" t="s">
        <v>16</v>
      </c>
    </row>
    <row r="97" spans="1:19" ht="15" x14ac:dyDescent="0.3">
      <c r="A97" s="68">
        <v>45310</v>
      </c>
      <c r="B97" s="68">
        <v>46188</v>
      </c>
      <c r="C97" s="69" t="s">
        <v>327</v>
      </c>
      <c r="D97" s="70">
        <v>0</v>
      </c>
      <c r="E97" s="70">
        <v>0</v>
      </c>
      <c r="F97" s="70">
        <v>0</v>
      </c>
      <c r="G97" s="70">
        <v>0</v>
      </c>
      <c r="H97" s="70">
        <v>3589.44</v>
      </c>
      <c r="I97" s="70">
        <v>3589.44</v>
      </c>
      <c r="J97" s="70">
        <v>0</v>
      </c>
      <c r="K97" s="70">
        <v>3589.44</v>
      </c>
      <c r="L97" s="70">
        <v>0</v>
      </c>
      <c r="M97" s="69" t="s">
        <v>25</v>
      </c>
      <c r="N97" s="69" t="s">
        <v>54</v>
      </c>
      <c r="O97" s="69" t="s">
        <v>61</v>
      </c>
      <c r="P97" s="69" t="s">
        <v>328</v>
      </c>
      <c r="Q97" s="69" t="s">
        <v>57</v>
      </c>
      <c r="R97" s="69" t="s">
        <v>58</v>
      </c>
      <c r="S97" s="69" t="s">
        <v>16</v>
      </c>
    </row>
    <row r="98" spans="1:19" ht="15" x14ac:dyDescent="0.3">
      <c r="A98" s="68">
        <v>45488</v>
      </c>
      <c r="B98" s="68">
        <v>45608</v>
      </c>
      <c r="C98" s="69" t="s">
        <v>329</v>
      </c>
      <c r="D98" s="70">
        <v>0</v>
      </c>
      <c r="E98" s="70">
        <v>0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69" t="s">
        <v>25</v>
      </c>
      <c r="N98" s="69" t="s">
        <v>60</v>
      </c>
      <c r="O98" s="69" t="s">
        <v>174</v>
      </c>
      <c r="P98" s="69" t="s">
        <v>330</v>
      </c>
      <c r="Q98" s="69" t="s">
        <v>57</v>
      </c>
      <c r="R98" s="69" t="s">
        <v>58</v>
      </c>
      <c r="S98" s="69" t="s">
        <v>16</v>
      </c>
    </row>
    <row r="99" spans="1:19" ht="15" x14ac:dyDescent="0.3">
      <c r="A99" s="68">
        <v>45532</v>
      </c>
      <c r="B99" s="68">
        <v>45911</v>
      </c>
      <c r="C99" s="69" t="s">
        <v>331</v>
      </c>
      <c r="D99" s="70">
        <v>0</v>
      </c>
      <c r="E99" s="70">
        <v>0</v>
      </c>
      <c r="F99" s="70">
        <v>0</v>
      </c>
      <c r="G99" s="70">
        <v>0</v>
      </c>
      <c r="H99" s="70">
        <v>0</v>
      </c>
      <c r="I99" s="70">
        <v>0</v>
      </c>
      <c r="J99" s="70">
        <v>0</v>
      </c>
      <c r="K99" s="70">
        <v>0</v>
      </c>
      <c r="L99" s="70">
        <v>0</v>
      </c>
      <c r="M99" s="69" t="s">
        <v>25</v>
      </c>
      <c r="N99" s="69" t="s">
        <v>114</v>
      </c>
      <c r="O99" s="69" t="s">
        <v>332</v>
      </c>
      <c r="P99" s="69" t="s">
        <v>333</v>
      </c>
      <c r="Q99" s="69" t="s">
        <v>57</v>
      </c>
      <c r="R99" s="69" t="s">
        <v>58</v>
      </c>
      <c r="S99" s="69" t="s">
        <v>16</v>
      </c>
    </row>
    <row r="100" spans="1:19" ht="15" x14ac:dyDescent="0.3">
      <c r="A100" s="68">
        <v>45504</v>
      </c>
      <c r="B100" s="68">
        <v>45740</v>
      </c>
      <c r="C100" s="69" t="s">
        <v>334</v>
      </c>
      <c r="D100" s="70">
        <v>0</v>
      </c>
      <c r="E100" s="70">
        <v>0</v>
      </c>
      <c r="F100" s="70">
        <v>0</v>
      </c>
      <c r="G100" s="70">
        <v>0</v>
      </c>
      <c r="H100" s="70">
        <v>0</v>
      </c>
      <c r="I100" s="70">
        <v>0</v>
      </c>
      <c r="J100" s="70">
        <v>0</v>
      </c>
      <c r="K100" s="70">
        <v>0</v>
      </c>
      <c r="L100" s="70">
        <v>0</v>
      </c>
      <c r="M100" s="69" t="s">
        <v>24</v>
      </c>
      <c r="N100" s="69" t="s">
        <v>60</v>
      </c>
      <c r="O100" s="69" t="s">
        <v>335</v>
      </c>
      <c r="P100" s="69" t="s">
        <v>336</v>
      </c>
      <c r="Q100" s="69" t="s">
        <v>57</v>
      </c>
      <c r="R100" s="69" t="s">
        <v>58</v>
      </c>
      <c r="S100" s="69" t="s">
        <v>16</v>
      </c>
    </row>
    <row r="101" spans="1:19" ht="15" x14ac:dyDescent="0.3">
      <c r="A101" s="68">
        <v>45261</v>
      </c>
      <c r="B101" s="68">
        <v>45743</v>
      </c>
      <c r="C101" s="69" t="s">
        <v>337</v>
      </c>
      <c r="D101" s="70">
        <v>0</v>
      </c>
      <c r="E101" s="70">
        <v>0</v>
      </c>
      <c r="F101" s="70">
        <v>0</v>
      </c>
      <c r="G101" s="70">
        <v>0</v>
      </c>
      <c r="H101" s="70">
        <v>9000</v>
      </c>
      <c r="I101" s="70">
        <v>9000</v>
      </c>
      <c r="J101" s="70">
        <v>0</v>
      </c>
      <c r="K101" s="70">
        <v>9000</v>
      </c>
      <c r="L101" s="70">
        <v>0</v>
      </c>
      <c r="M101" s="69" t="s">
        <v>25</v>
      </c>
      <c r="N101" s="69" t="s">
        <v>54</v>
      </c>
      <c r="O101" s="69" t="s">
        <v>212</v>
      </c>
      <c r="P101" s="69" t="s">
        <v>338</v>
      </c>
      <c r="Q101" s="69" t="s">
        <v>57</v>
      </c>
      <c r="R101" s="69" t="s">
        <v>58</v>
      </c>
      <c r="S101" s="69" t="s">
        <v>16</v>
      </c>
    </row>
    <row r="102" spans="1:19" ht="15" x14ac:dyDescent="0.3">
      <c r="A102" s="68">
        <v>45603</v>
      </c>
      <c r="B102" s="69"/>
      <c r="C102" s="69" t="s">
        <v>339</v>
      </c>
      <c r="D102" s="70">
        <v>0</v>
      </c>
      <c r="E102" s="70">
        <v>0</v>
      </c>
      <c r="F102" s="70">
        <v>0</v>
      </c>
      <c r="G102" s="70">
        <v>35657.279999999999</v>
      </c>
      <c r="H102" s="70">
        <v>4342.72</v>
      </c>
      <c r="I102" s="70">
        <v>40000</v>
      </c>
      <c r="J102" s="70">
        <v>0</v>
      </c>
      <c r="K102" s="70">
        <v>40000</v>
      </c>
      <c r="L102" s="70">
        <v>0</v>
      </c>
      <c r="M102" s="69" t="s">
        <v>25</v>
      </c>
      <c r="N102" s="69" t="s">
        <v>60</v>
      </c>
      <c r="O102" s="69" t="s">
        <v>340</v>
      </c>
      <c r="P102" s="69" t="s">
        <v>341</v>
      </c>
      <c r="Q102" s="69" t="s">
        <v>57</v>
      </c>
      <c r="R102" s="69" t="s">
        <v>58</v>
      </c>
      <c r="S102" s="69" t="s">
        <v>16</v>
      </c>
    </row>
    <row r="103" spans="1:19" ht="15" x14ac:dyDescent="0.3">
      <c r="A103" s="68">
        <v>45453</v>
      </c>
      <c r="B103" s="68">
        <v>45632</v>
      </c>
      <c r="C103" s="69" t="s">
        <v>342</v>
      </c>
      <c r="D103" s="70">
        <v>0</v>
      </c>
      <c r="E103" s="70">
        <v>0</v>
      </c>
      <c r="F103" s="70">
        <v>0</v>
      </c>
      <c r="G103" s="70">
        <v>0</v>
      </c>
      <c r="H103" s="70">
        <v>0</v>
      </c>
      <c r="I103" s="70">
        <v>0</v>
      </c>
      <c r="J103" s="70">
        <v>0</v>
      </c>
      <c r="K103" s="70">
        <v>0</v>
      </c>
      <c r="L103" s="70">
        <v>0</v>
      </c>
      <c r="M103" s="69" t="s">
        <v>25</v>
      </c>
      <c r="N103" s="69" t="s">
        <v>60</v>
      </c>
      <c r="O103" s="69" t="s">
        <v>343</v>
      </c>
      <c r="P103" s="69" t="s">
        <v>344</v>
      </c>
      <c r="Q103" s="69" t="s">
        <v>57</v>
      </c>
      <c r="R103" s="69" t="s">
        <v>58</v>
      </c>
      <c r="S103" s="69" t="s">
        <v>16</v>
      </c>
    </row>
    <row r="104" spans="1:19" ht="15" x14ac:dyDescent="0.3">
      <c r="A104" s="68">
        <v>45259</v>
      </c>
      <c r="B104" s="68">
        <v>46185</v>
      </c>
      <c r="C104" s="69" t="s">
        <v>345</v>
      </c>
      <c r="D104" s="70">
        <v>0</v>
      </c>
      <c r="E104" s="70">
        <v>0</v>
      </c>
      <c r="F104" s="70">
        <v>0</v>
      </c>
      <c r="G104" s="70">
        <v>0</v>
      </c>
      <c r="H104" s="70">
        <v>0</v>
      </c>
      <c r="I104" s="70">
        <v>0</v>
      </c>
      <c r="J104" s="70">
        <v>0</v>
      </c>
      <c r="K104" s="70">
        <v>0</v>
      </c>
      <c r="L104" s="70">
        <v>0</v>
      </c>
      <c r="M104" s="69" t="s">
        <v>25</v>
      </c>
      <c r="N104" s="69" t="s">
        <v>114</v>
      </c>
      <c r="O104" s="69" t="s">
        <v>346</v>
      </c>
      <c r="P104" s="69" t="s">
        <v>347</v>
      </c>
      <c r="Q104" s="69" t="s">
        <v>57</v>
      </c>
      <c r="R104" s="69" t="s">
        <v>58</v>
      </c>
      <c r="S104" s="69" t="s">
        <v>16</v>
      </c>
    </row>
    <row r="105" spans="1:19" ht="15" x14ac:dyDescent="0.3">
      <c r="A105" s="68">
        <v>45588</v>
      </c>
      <c r="B105" s="68">
        <v>46006</v>
      </c>
      <c r="C105" s="69" t="s">
        <v>348</v>
      </c>
      <c r="D105" s="70">
        <v>0</v>
      </c>
      <c r="E105" s="70">
        <v>0</v>
      </c>
      <c r="F105" s="70">
        <v>0</v>
      </c>
      <c r="G105" s="70">
        <v>0</v>
      </c>
      <c r="H105" s="70">
        <v>0</v>
      </c>
      <c r="I105" s="70">
        <v>0</v>
      </c>
      <c r="J105" s="70">
        <v>0</v>
      </c>
      <c r="K105" s="70">
        <v>0</v>
      </c>
      <c r="L105" s="70">
        <v>0</v>
      </c>
      <c r="M105" s="69" t="s">
        <v>24</v>
      </c>
      <c r="N105" s="69" t="s">
        <v>114</v>
      </c>
      <c r="O105" s="69" t="s">
        <v>349</v>
      </c>
      <c r="P105" s="69" t="s">
        <v>350</v>
      </c>
      <c r="Q105" s="69" t="s">
        <v>57</v>
      </c>
      <c r="R105" s="69" t="s">
        <v>58</v>
      </c>
      <c r="S105" s="69" t="s">
        <v>16</v>
      </c>
    </row>
    <row r="106" spans="1:19" ht="15" x14ac:dyDescent="0.3">
      <c r="A106" s="68">
        <v>45636</v>
      </c>
      <c r="B106" s="68">
        <v>45713</v>
      </c>
      <c r="C106" s="69" t="s">
        <v>351</v>
      </c>
      <c r="D106" s="70">
        <v>0</v>
      </c>
      <c r="E106" s="70">
        <v>0</v>
      </c>
      <c r="F106" s="70">
        <v>0</v>
      </c>
      <c r="G106" s="70">
        <v>0</v>
      </c>
      <c r="H106" s="70">
        <v>259.95</v>
      </c>
      <c r="I106" s="70">
        <v>259.95</v>
      </c>
      <c r="J106" s="70">
        <v>0</v>
      </c>
      <c r="K106" s="70">
        <v>259.95</v>
      </c>
      <c r="L106" s="70">
        <v>0</v>
      </c>
      <c r="M106" s="69" t="s">
        <v>24</v>
      </c>
      <c r="N106" s="69" t="s">
        <v>54</v>
      </c>
      <c r="O106" s="69" t="s">
        <v>352</v>
      </c>
      <c r="P106" s="69" t="s">
        <v>353</v>
      </c>
      <c r="Q106" s="69" t="s">
        <v>57</v>
      </c>
      <c r="R106" s="69" t="s">
        <v>58</v>
      </c>
      <c r="S106" s="69" t="s">
        <v>16</v>
      </c>
    </row>
    <row r="107" spans="1:19" ht="15" x14ac:dyDescent="0.3">
      <c r="A107" s="68">
        <v>45665</v>
      </c>
      <c r="B107" s="68">
        <v>45730</v>
      </c>
      <c r="C107" s="69" t="s">
        <v>354</v>
      </c>
      <c r="D107" s="70">
        <v>0</v>
      </c>
      <c r="E107" s="70">
        <v>0</v>
      </c>
      <c r="F107" s="70">
        <v>0</v>
      </c>
      <c r="G107" s="70">
        <v>0</v>
      </c>
      <c r="H107" s="70">
        <v>87.91</v>
      </c>
      <c r="I107" s="70">
        <v>87.91</v>
      </c>
      <c r="J107" s="70">
        <v>0</v>
      </c>
      <c r="K107" s="70">
        <v>87.91</v>
      </c>
      <c r="L107" s="70">
        <v>0</v>
      </c>
      <c r="M107" s="69" t="s">
        <v>24</v>
      </c>
      <c r="N107" s="69" t="s">
        <v>54</v>
      </c>
      <c r="O107" s="69" t="s">
        <v>355</v>
      </c>
      <c r="P107" s="69" t="s">
        <v>356</v>
      </c>
      <c r="Q107" s="69" t="s">
        <v>57</v>
      </c>
      <c r="R107" s="69" t="s">
        <v>58</v>
      </c>
      <c r="S107" s="69" t="s">
        <v>16</v>
      </c>
    </row>
    <row r="108" spans="1:19" ht="15" x14ac:dyDescent="0.3">
      <c r="A108" s="68">
        <v>45669</v>
      </c>
      <c r="B108" s="68">
        <v>45776</v>
      </c>
      <c r="C108" s="69" t="s">
        <v>357</v>
      </c>
      <c r="D108" s="70">
        <v>0</v>
      </c>
      <c r="E108" s="70">
        <v>0</v>
      </c>
      <c r="F108" s="70">
        <v>0</v>
      </c>
      <c r="G108" s="70">
        <v>0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69" t="s">
        <v>25</v>
      </c>
      <c r="N108" s="69" t="s">
        <v>60</v>
      </c>
      <c r="O108" s="69" t="s">
        <v>358</v>
      </c>
      <c r="P108" s="69" t="s">
        <v>359</v>
      </c>
      <c r="Q108" s="69" t="s">
        <v>57</v>
      </c>
      <c r="R108" s="69" t="s">
        <v>58</v>
      </c>
      <c r="S108" s="69" t="s">
        <v>16</v>
      </c>
    </row>
    <row r="109" spans="1:19" ht="15" x14ac:dyDescent="0.3">
      <c r="A109" s="68">
        <v>45612</v>
      </c>
      <c r="B109" s="69"/>
      <c r="C109" s="69" t="s">
        <v>360</v>
      </c>
      <c r="D109" s="70">
        <v>0</v>
      </c>
      <c r="E109" s="70">
        <v>0</v>
      </c>
      <c r="F109" s="70">
        <v>0</v>
      </c>
      <c r="G109" s="70">
        <v>2288.0300000000002</v>
      </c>
      <c r="H109" s="70">
        <v>6711.97</v>
      </c>
      <c r="I109" s="70">
        <v>9000</v>
      </c>
      <c r="J109" s="70">
        <v>0</v>
      </c>
      <c r="K109" s="70">
        <v>9000</v>
      </c>
      <c r="L109" s="70">
        <v>0</v>
      </c>
      <c r="M109" s="69" t="s">
        <v>25</v>
      </c>
      <c r="N109" s="69" t="s">
        <v>151</v>
      </c>
      <c r="O109" s="69" t="s">
        <v>361</v>
      </c>
      <c r="P109" s="69" t="s">
        <v>362</v>
      </c>
      <c r="Q109" s="69" t="s">
        <v>57</v>
      </c>
      <c r="R109" s="69" t="s">
        <v>363</v>
      </c>
      <c r="S109" s="69" t="s">
        <v>16</v>
      </c>
    </row>
    <row r="110" spans="1:19" ht="15" x14ac:dyDescent="0.3">
      <c r="A110" s="68">
        <v>45551</v>
      </c>
      <c r="B110" s="69"/>
      <c r="C110" s="69" t="s">
        <v>364</v>
      </c>
      <c r="D110" s="70">
        <v>0</v>
      </c>
      <c r="E110" s="70">
        <v>0</v>
      </c>
      <c r="F110" s="70">
        <v>0</v>
      </c>
      <c r="G110" s="70">
        <v>35000</v>
      </c>
      <c r="H110" s="70">
        <v>0</v>
      </c>
      <c r="I110" s="70">
        <v>35000</v>
      </c>
      <c r="J110" s="70">
        <v>0</v>
      </c>
      <c r="K110" s="70">
        <v>35000</v>
      </c>
      <c r="L110" s="70">
        <v>0</v>
      </c>
      <c r="M110" s="69" t="s">
        <v>25</v>
      </c>
      <c r="N110" s="69" t="s">
        <v>151</v>
      </c>
      <c r="O110" s="69" t="s">
        <v>365</v>
      </c>
      <c r="P110" s="69" t="s">
        <v>366</v>
      </c>
      <c r="Q110" s="69" t="s">
        <v>57</v>
      </c>
      <c r="R110" s="69" t="s">
        <v>58</v>
      </c>
      <c r="S110" s="69" t="s">
        <v>16</v>
      </c>
    </row>
    <row r="111" spans="1:19" ht="15" x14ac:dyDescent="0.3">
      <c r="A111" s="68">
        <v>45624</v>
      </c>
      <c r="B111" s="68">
        <v>45747</v>
      </c>
      <c r="C111" s="69" t="s">
        <v>367</v>
      </c>
      <c r="D111" s="70">
        <v>0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69" t="s">
        <v>24</v>
      </c>
      <c r="N111" s="69" t="s">
        <v>60</v>
      </c>
      <c r="O111" s="69" t="s">
        <v>368</v>
      </c>
      <c r="P111" s="69" t="s">
        <v>369</v>
      </c>
      <c r="Q111" s="69" t="s">
        <v>57</v>
      </c>
      <c r="R111" s="69" t="s">
        <v>58</v>
      </c>
      <c r="S111" s="69" t="s">
        <v>16</v>
      </c>
    </row>
    <row r="112" spans="1:19" ht="15" x14ac:dyDescent="0.3">
      <c r="A112" s="68">
        <v>45570</v>
      </c>
      <c r="B112" s="68">
        <v>45901</v>
      </c>
      <c r="C112" s="69" t="s">
        <v>370</v>
      </c>
      <c r="D112" s="70">
        <v>0</v>
      </c>
      <c r="E112" s="70">
        <v>0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69" t="s">
        <v>24</v>
      </c>
      <c r="N112" s="69" t="s">
        <v>60</v>
      </c>
      <c r="O112" s="69" t="s">
        <v>371</v>
      </c>
      <c r="P112" s="69" t="s">
        <v>372</v>
      </c>
      <c r="Q112" s="69" t="s">
        <v>57</v>
      </c>
      <c r="R112" s="69" t="s">
        <v>58</v>
      </c>
      <c r="S112" s="69" t="s">
        <v>16</v>
      </c>
    </row>
    <row r="113" spans="1:19" ht="15" x14ac:dyDescent="0.3">
      <c r="A113" s="68">
        <v>45256</v>
      </c>
      <c r="B113" s="68">
        <v>45824</v>
      </c>
      <c r="C113" s="69" t="s">
        <v>373</v>
      </c>
      <c r="D113" s="70">
        <v>0</v>
      </c>
      <c r="E113" s="70">
        <v>0</v>
      </c>
      <c r="F113" s="70">
        <v>0</v>
      </c>
      <c r="G113" s="70">
        <v>0</v>
      </c>
      <c r="H113" s="70">
        <v>1149.25</v>
      </c>
      <c r="I113" s="70">
        <v>1149.25</v>
      </c>
      <c r="J113" s="70">
        <v>0</v>
      </c>
      <c r="K113" s="70">
        <v>1149.25</v>
      </c>
      <c r="L113" s="70">
        <v>0</v>
      </c>
      <c r="M113" s="69" t="s">
        <v>25</v>
      </c>
      <c r="N113" s="69" t="s">
        <v>54</v>
      </c>
      <c r="O113" s="69" t="s">
        <v>374</v>
      </c>
      <c r="P113" s="69" t="s">
        <v>375</v>
      </c>
      <c r="Q113" s="69" t="s">
        <v>57</v>
      </c>
      <c r="R113" s="69" t="s">
        <v>58</v>
      </c>
      <c r="S113" s="69" t="s">
        <v>16</v>
      </c>
    </row>
    <row r="114" spans="1:19" ht="15" x14ac:dyDescent="0.3">
      <c r="A114" s="68">
        <v>45833</v>
      </c>
      <c r="B114" s="69"/>
      <c r="C114" s="69" t="s">
        <v>376</v>
      </c>
      <c r="D114" s="70">
        <v>0</v>
      </c>
      <c r="E114" s="70">
        <v>0</v>
      </c>
      <c r="F114" s="70">
        <v>0</v>
      </c>
      <c r="G114" s="70">
        <v>10000</v>
      </c>
      <c r="H114" s="70">
        <v>0</v>
      </c>
      <c r="I114" s="70">
        <v>10000</v>
      </c>
      <c r="J114" s="70">
        <v>0</v>
      </c>
      <c r="K114" s="70">
        <v>10000</v>
      </c>
      <c r="L114" s="70">
        <v>0</v>
      </c>
      <c r="M114" s="69" t="s">
        <v>25</v>
      </c>
      <c r="N114" s="69" t="s">
        <v>151</v>
      </c>
      <c r="O114" s="69" t="s">
        <v>377</v>
      </c>
      <c r="P114" s="69" t="s">
        <v>378</v>
      </c>
      <c r="Q114" s="69" t="s">
        <v>57</v>
      </c>
      <c r="R114" s="69" t="s">
        <v>58</v>
      </c>
      <c r="S114" s="69" t="s">
        <v>16</v>
      </c>
    </row>
    <row r="115" spans="1:19" ht="15" x14ac:dyDescent="0.3">
      <c r="A115" s="68">
        <v>45847</v>
      </c>
      <c r="B115" s="69"/>
      <c r="C115" s="69" t="s">
        <v>379</v>
      </c>
      <c r="D115" s="70">
        <v>0</v>
      </c>
      <c r="E115" s="70">
        <v>0</v>
      </c>
      <c r="F115" s="70">
        <v>0</v>
      </c>
      <c r="G115" s="70">
        <v>5000</v>
      </c>
      <c r="H115" s="70">
        <v>2500</v>
      </c>
      <c r="I115" s="70">
        <v>7500</v>
      </c>
      <c r="J115" s="70">
        <v>0</v>
      </c>
      <c r="K115" s="70">
        <v>7500</v>
      </c>
      <c r="L115" s="70">
        <v>0</v>
      </c>
      <c r="M115" s="69" t="s">
        <v>25</v>
      </c>
      <c r="N115" s="69" t="s">
        <v>151</v>
      </c>
      <c r="O115" s="69" t="s">
        <v>380</v>
      </c>
      <c r="P115" s="69" t="s">
        <v>381</v>
      </c>
      <c r="Q115" s="69" t="s">
        <v>57</v>
      </c>
      <c r="R115" s="69" t="s">
        <v>58</v>
      </c>
      <c r="S115" s="69" t="s">
        <v>16</v>
      </c>
    </row>
    <row r="116" spans="1:19" ht="15" x14ac:dyDescent="0.3">
      <c r="A116" s="68">
        <v>45712</v>
      </c>
      <c r="B116" s="69"/>
      <c r="C116" s="69" t="s">
        <v>382</v>
      </c>
      <c r="D116" s="70">
        <v>0</v>
      </c>
      <c r="E116" s="70">
        <v>0</v>
      </c>
      <c r="F116" s="70">
        <v>0</v>
      </c>
      <c r="G116" s="70">
        <v>3000</v>
      </c>
      <c r="H116" s="70">
        <v>0</v>
      </c>
      <c r="I116" s="70">
        <v>3000</v>
      </c>
      <c r="J116" s="70">
        <v>0</v>
      </c>
      <c r="K116" s="70">
        <v>3000</v>
      </c>
      <c r="L116" s="70">
        <v>0</v>
      </c>
      <c r="M116" s="69" t="s">
        <v>25</v>
      </c>
      <c r="N116" s="69" t="s">
        <v>151</v>
      </c>
      <c r="O116" s="69" t="s">
        <v>383</v>
      </c>
      <c r="P116" s="69" t="s">
        <v>384</v>
      </c>
      <c r="Q116" s="69" t="s">
        <v>57</v>
      </c>
      <c r="R116" s="69" t="s">
        <v>58</v>
      </c>
      <c r="S116" s="69" t="s">
        <v>16</v>
      </c>
    </row>
    <row r="117" spans="1:19" ht="15" x14ac:dyDescent="0.3">
      <c r="A117" s="68">
        <v>45799</v>
      </c>
      <c r="B117" s="69"/>
      <c r="C117" s="69" t="s">
        <v>385</v>
      </c>
      <c r="D117" s="70">
        <v>0</v>
      </c>
      <c r="E117" s="70">
        <v>0</v>
      </c>
      <c r="F117" s="70">
        <v>0</v>
      </c>
      <c r="G117" s="70">
        <v>5000</v>
      </c>
      <c r="H117" s="70">
        <v>0</v>
      </c>
      <c r="I117" s="70">
        <v>5000</v>
      </c>
      <c r="J117" s="70">
        <v>0</v>
      </c>
      <c r="K117" s="70">
        <v>5000</v>
      </c>
      <c r="L117" s="70">
        <v>0</v>
      </c>
      <c r="M117" s="69" t="s">
        <v>25</v>
      </c>
      <c r="N117" s="69" t="s">
        <v>60</v>
      </c>
      <c r="O117" s="69" t="s">
        <v>386</v>
      </c>
      <c r="P117" s="69" t="s">
        <v>387</v>
      </c>
      <c r="Q117" s="69" t="s">
        <v>57</v>
      </c>
      <c r="R117" s="69" t="s">
        <v>58</v>
      </c>
      <c r="S117" s="69" t="s">
        <v>16</v>
      </c>
    </row>
    <row r="118" spans="1:19" ht="15" x14ac:dyDescent="0.3">
      <c r="A118" s="68">
        <v>45769</v>
      </c>
      <c r="B118" s="69"/>
      <c r="C118" s="69" t="s">
        <v>388</v>
      </c>
      <c r="D118" s="70">
        <v>0</v>
      </c>
      <c r="E118" s="70">
        <v>0</v>
      </c>
      <c r="F118" s="70">
        <v>0</v>
      </c>
      <c r="G118" s="70">
        <v>25000</v>
      </c>
      <c r="H118" s="70">
        <v>0</v>
      </c>
      <c r="I118" s="70">
        <v>25000</v>
      </c>
      <c r="J118" s="70">
        <v>0</v>
      </c>
      <c r="K118" s="70">
        <v>25000</v>
      </c>
      <c r="L118" s="70">
        <v>0</v>
      </c>
      <c r="M118" s="69" t="s">
        <v>25</v>
      </c>
      <c r="N118" s="69" t="s">
        <v>151</v>
      </c>
      <c r="O118" s="69" t="s">
        <v>389</v>
      </c>
      <c r="P118" s="69" t="s">
        <v>390</v>
      </c>
      <c r="Q118" s="69" t="s">
        <v>57</v>
      </c>
      <c r="R118" s="69" t="s">
        <v>58</v>
      </c>
      <c r="S118" s="69" t="s">
        <v>16</v>
      </c>
    </row>
    <row r="119" spans="1:19" ht="15" x14ac:dyDescent="0.3">
      <c r="A119" s="68">
        <v>45661</v>
      </c>
      <c r="B119" s="69"/>
      <c r="C119" s="69" t="s">
        <v>391</v>
      </c>
      <c r="D119" s="70">
        <v>0</v>
      </c>
      <c r="E119" s="70">
        <v>0</v>
      </c>
      <c r="F119" s="70">
        <v>0</v>
      </c>
      <c r="G119" s="70">
        <v>2147.9699999999998</v>
      </c>
      <c r="H119" s="70">
        <v>6852.03</v>
      </c>
      <c r="I119" s="70">
        <v>9000</v>
      </c>
      <c r="J119" s="70">
        <v>0</v>
      </c>
      <c r="K119" s="70">
        <v>9000</v>
      </c>
      <c r="L119" s="70">
        <v>0</v>
      </c>
      <c r="M119" s="69" t="s">
        <v>25</v>
      </c>
      <c r="N119" s="69" t="s">
        <v>54</v>
      </c>
      <c r="O119" s="69" t="s">
        <v>392</v>
      </c>
      <c r="P119" s="69" t="s">
        <v>393</v>
      </c>
      <c r="Q119" s="69" t="s">
        <v>57</v>
      </c>
      <c r="R119" s="69" t="s">
        <v>58</v>
      </c>
      <c r="S119" s="69" t="s">
        <v>16</v>
      </c>
    </row>
    <row r="120" spans="1:19" ht="15" x14ac:dyDescent="0.3">
      <c r="A120" s="68">
        <v>45935</v>
      </c>
      <c r="B120" s="68">
        <v>46183</v>
      </c>
      <c r="C120" s="69" t="s">
        <v>394</v>
      </c>
      <c r="D120" s="70">
        <v>0</v>
      </c>
      <c r="E120" s="70">
        <v>0</v>
      </c>
      <c r="F120" s="70">
        <v>0</v>
      </c>
      <c r="G120" s="70">
        <v>0</v>
      </c>
      <c r="H120" s="70">
        <v>3490.54</v>
      </c>
      <c r="I120" s="70">
        <v>3490.54</v>
      </c>
      <c r="J120" s="70">
        <v>0</v>
      </c>
      <c r="K120" s="70">
        <v>3490.54</v>
      </c>
      <c r="L120" s="70">
        <v>0</v>
      </c>
      <c r="M120" s="69" t="s">
        <v>24</v>
      </c>
      <c r="N120" s="69" t="s">
        <v>54</v>
      </c>
      <c r="O120" s="69" t="s">
        <v>395</v>
      </c>
      <c r="P120" s="69" t="s">
        <v>396</v>
      </c>
      <c r="Q120" s="69" t="s">
        <v>57</v>
      </c>
      <c r="R120" s="69" t="s">
        <v>58</v>
      </c>
      <c r="S120" s="69" t="s">
        <v>16</v>
      </c>
    </row>
    <row r="121" spans="1:19" ht="15" x14ac:dyDescent="0.3">
      <c r="A121" s="68">
        <v>45952</v>
      </c>
      <c r="B121" s="69"/>
      <c r="C121" s="69" t="s">
        <v>397</v>
      </c>
      <c r="D121" s="70">
        <v>0</v>
      </c>
      <c r="E121" s="70">
        <v>0</v>
      </c>
      <c r="F121" s="70">
        <v>0</v>
      </c>
      <c r="G121" s="70">
        <v>2000</v>
      </c>
      <c r="H121" s="70">
        <v>500</v>
      </c>
      <c r="I121" s="70">
        <v>2500</v>
      </c>
      <c r="J121" s="70">
        <v>0</v>
      </c>
      <c r="K121" s="70">
        <v>2500</v>
      </c>
      <c r="L121" s="70">
        <v>0</v>
      </c>
      <c r="M121" s="69" t="s">
        <v>25</v>
      </c>
      <c r="N121" s="69" t="s">
        <v>151</v>
      </c>
      <c r="O121" s="69" t="s">
        <v>398</v>
      </c>
      <c r="P121" s="69" t="s">
        <v>399</v>
      </c>
      <c r="Q121" s="69" t="s">
        <v>57</v>
      </c>
      <c r="R121" s="69" t="s">
        <v>58</v>
      </c>
      <c r="S121" s="69" t="s">
        <v>16</v>
      </c>
    </row>
    <row r="122" spans="1:19" ht="15" x14ac:dyDescent="0.3">
      <c r="A122" s="68">
        <v>45970</v>
      </c>
      <c r="B122" s="68">
        <v>46031</v>
      </c>
      <c r="C122" s="69" t="s">
        <v>400</v>
      </c>
      <c r="D122" s="70">
        <v>0</v>
      </c>
      <c r="E122" s="70">
        <v>0</v>
      </c>
      <c r="F122" s="70">
        <v>0</v>
      </c>
      <c r="G122" s="70">
        <v>0</v>
      </c>
      <c r="H122" s="70">
        <v>4141.37</v>
      </c>
      <c r="I122" s="70">
        <v>4141.37</v>
      </c>
      <c r="J122" s="70">
        <v>0</v>
      </c>
      <c r="K122" s="70">
        <v>4141.37</v>
      </c>
      <c r="L122" s="70">
        <v>0</v>
      </c>
      <c r="M122" s="69" t="s">
        <v>24</v>
      </c>
      <c r="N122" s="69" t="s">
        <v>54</v>
      </c>
      <c r="O122" s="69" t="s">
        <v>401</v>
      </c>
      <c r="P122" s="69" t="s">
        <v>279</v>
      </c>
      <c r="Q122" s="69" t="s">
        <v>57</v>
      </c>
      <c r="R122" s="69" t="s">
        <v>58</v>
      </c>
      <c r="S122" s="69" t="s">
        <v>16</v>
      </c>
    </row>
    <row r="123" spans="1:19" ht="15" x14ac:dyDescent="0.3">
      <c r="A123" s="68">
        <v>45934</v>
      </c>
      <c r="B123" s="68">
        <v>46070</v>
      </c>
      <c r="C123" s="69" t="s">
        <v>402</v>
      </c>
      <c r="D123" s="70">
        <v>0</v>
      </c>
      <c r="E123" s="70">
        <v>0</v>
      </c>
      <c r="F123" s="70">
        <v>0</v>
      </c>
      <c r="G123" s="70">
        <v>0</v>
      </c>
      <c r="H123" s="70">
        <v>625</v>
      </c>
      <c r="I123" s="70">
        <v>625</v>
      </c>
      <c r="J123" s="70">
        <v>0</v>
      </c>
      <c r="K123" s="70">
        <v>625</v>
      </c>
      <c r="L123" s="70">
        <v>0</v>
      </c>
      <c r="M123" s="69" t="s">
        <v>24</v>
      </c>
      <c r="N123" s="69" t="s">
        <v>54</v>
      </c>
      <c r="O123" s="69" t="s">
        <v>403</v>
      </c>
      <c r="P123" s="69" t="s">
        <v>404</v>
      </c>
      <c r="Q123" s="69" t="s">
        <v>57</v>
      </c>
      <c r="R123" s="69" t="s">
        <v>58</v>
      </c>
      <c r="S123" s="69" t="s">
        <v>16</v>
      </c>
    </row>
    <row r="124" spans="1:19" ht="15" x14ac:dyDescent="0.3">
      <c r="A124" s="68">
        <v>45988</v>
      </c>
      <c r="B124" s="68">
        <v>46170</v>
      </c>
      <c r="C124" s="69" t="s">
        <v>405</v>
      </c>
      <c r="D124" s="70">
        <v>0</v>
      </c>
      <c r="E124" s="70">
        <v>0</v>
      </c>
      <c r="F124" s="70">
        <v>0</v>
      </c>
      <c r="G124" s="70">
        <v>0</v>
      </c>
      <c r="H124" s="70">
        <v>4979.3</v>
      </c>
      <c r="I124" s="70">
        <v>4979.3</v>
      </c>
      <c r="J124" s="70">
        <v>0</v>
      </c>
      <c r="K124" s="70">
        <v>4979.3</v>
      </c>
      <c r="L124" s="70">
        <v>0</v>
      </c>
      <c r="M124" s="69" t="s">
        <v>24</v>
      </c>
      <c r="N124" s="69" t="s">
        <v>54</v>
      </c>
      <c r="O124" s="69" t="s">
        <v>406</v>
      </c>
      <c r="P124" s="69" t="s">
        <v>407</v>
      </c>
      <c r="Q124" s="69" t="s">
        <v>57</v>
      </c>
      <c r="R124" s="69" t="s">
        <v>58</v>
      </c>
      <c r="S124" s="69" t="s">
        <v>16</v>
      </c>
    </row>
    <row r="125" spans="1:19" ht="15" x14ac:dyDescent="0.3">
      <c r="A125" s="68">
        <v>45889</v>
      </c>
      <c r="B125" s="68">
        <v>46107</v>
      </c>
      <c r="C125" s="69" t="s">
        <v>408</v>
      </c>
      <c r="D125" s="70">
        <v>0</v>
      </c>
      <c r="E125" s="70">
        <v>0</v>
      </c>
      <c r="F125" s="70">
        <v>0</v>
      </c>
      <c r="G125" s="70">
        <v>0</v>
      </c>
      <c r="H125" s="70">
        <v>0</v>
      </c>
      <c r="I125" s="70">
        <v>0</v>
      </c>
      <c r="J125" s="70">
        <v>0</v>
      </c>
      <c r="K125" s="70">
        <v>0</v>
      </c>
      <c r="L125" s="70">
        <v>0</v>
      </c>
      <c r="M125" s="69" t="s">
        <v>24</v>
      </c>
      <c r="N125" s="69" t="s">
        <v>114</v>
      </c>
      <c r="O125" s="69" t="s">
        <v>409</v>
      </c>
      <c r="P125" s="69" t="s">
        <v>410</v>
      </c>
      <c r="Q125" s="69" t="s">
        <v>57</v>
      </c>
      <c r="R125" s="69" t="s">
        <v>58</v>
      </c>
      <c r="S125" s="69" t="s">
        <v>16</v>
      </c>
    </row>
    <row r="126" spans="1:19" ht="15" x14ac:dyDescent="0.3">
      <c r="A126" s="68">
        <v>46024</v>
      </c>
      <c r="B126" s="68">
        <v>46181</v>
      </c>
      <c r="C126" s="69" t="s">
        <v>411</v>
      </c>
      <c r="D126" s="70">
        <v>0</v>
      </c>
      <c r="E126" s="70">
        <v>0</v>
      </c>
      <c r="F126" s="70">
        <v>0</v>
      </c>
      <c r="G126" s="70">
        <v>0</v>
      </c>
      <c r="H126" s="70">
        <v>1511.31</v>
      </c>
      <c r="I126" s="70">
        <v>1511.31</v>
      </c>
      <c r="J126" s="70">
        <v>0</v>
      </c>
      <c r="K126" s="70">
        <v>1511.31</v>
      </c>
      <c r="L126" s="70">
        <v>0</v>
      </c>
      <c r="M126" s="69" t="s">
        <v>24</v>
      </c>
      <c r="N126" s="69" t="s">
        <v>54</v>
      </c>
      <c r="O126" s="69" t="s">
        <v>412</v>
      </c>
      <c r="P126" s="69" t="s">
        <v>413</v>
      </c>
      <c r="Q126" s="69" t="s">
        <v>57</v>
      </c>
      <c r="R126" s="69" t="s">
        <v>58</v>
      </c>
      <c r="S126" s="69" t="s">
        <v>16</v>
      </c>
    </row>
    <row r="127" spans="1:19" ht="15" x14ac:dyDescent="0.3">
      <c r="A127" s="68">
        <v>46015</v>
      </c>
      <c r="B127" s="69"/>
      <c r="C127" s="69" t="s">
        <v>150</v>
      </c>
      <c r="D127" s="70">
        <v>0</v>
      </c>
      <c r="E127" s="70">
        <v>0</v>
      </c>
      <c r="F127" s="70">
        <v>0</v>
      </c>
      <c r="G127" s="70">
        <v>1000</v>
      </c>
      <c r="H127" s="70">
        <v>0</v>
      </c>
      <c r="I127" s="70">
        <v>1000</v>
      </c>
      <c r="J127" s="70">
        <v>0</v>
      </c>
      <c r="K127" s="70">
        <v>1000</v>
      </c>
      <c r="L127" s="70">
        <v>0</v>
      </c>
      <c r="M127" s="69" t="s">
        <v>25</v>
      </c>
      <c r="N127" s="69" t="s">
        <v>151</v>
      </c>
      <c r="O127" s="69" t="s">
        <v>414</v>
      </c>
      <c r="P127" s="69" t="s">
        <v>153</v>
      </c>
      <c r="Q127" s="69" t="s">
        <v>57</v>
      </c>
      <c r="R127" s="69" t="s">
        <v>58</v>
      </c>
      <c r="S127" s="69" t="s">
        <v>16</v>
      </c>
    </row>
    <row r="128" spans="1:19" ht="15" x14ac:dyDescent="0.3">
      <c r="A128" s="68">
        <v>45956</v>
      </c>
      <c r="B128" s="68">
        <v>46049</v>
      </c>
      <c r="C128" s="69" t="s">
        <v>415</v>
      </c>
      <c r="D128" s="70">
        <v>0</v>
      </c>
      <c r="E128" s="70">
        <v>0</v>
      </c>
      <c r="F128" s="70">
        <v>0</v>
      </c>
      <c r="G128" s="70">
        <v>0</v>
      </c>
      <c r="H128" s="70">
        <v>1270</v>
      </c>
      <c r="I128" s="70">
        <v>1270</v>
      </c>
      <c r="J128" s="70">
        <v>0</v>
      </c>
      <c r="K128" s="70">
        <v>1270</v>
      </c>
      <c r="L128" s="70">
        <v>0</v>
      </c>
      <c r="M128" s="69" t="s">
        <v>24</v>
      </c>
      <c r="N128" s="69" t="s">
        <v>54</v>
      </c>
      <c r="O128" s="69" t="s">
        <v>416</v>
      </c>
      <c r="P128" s="69" t="s">
        <v>417</v>
      </c>
      <c r="Q128" s="69" t="s">
        <v>57</v>
      </c>
      <c r="R128" s="69" t="s">
        <v>58</v>
      </c>
      <c r="S128" s="69" t="s">
        <v>16</v>
      </c>
    </row>
    <row r="129" spans="1:19" ht="15" x14ac:dyDescent="0.3">
      <c r="A129" s="68">
        <v>45912</v>
      </c>
      <c r="B129" s="68">
        <v>46045</v>
      </c>
      <c r="C129" s="69" t="s">
        <v>418</v>
      </c>
      <c r="D129" s="70">
        <v>0</v>
      </c>
      <c r="E129" s="70">
        <v>0</v>
      </c>
      <c r="F129" s="70">
        <v>0</v>
      </c>
      <c r="G129" s="70">
        <v>0</v>
      </c>
      <c r="H129" s="70">
        <v>0</v>
      </c>
      <c r="I129" s="70">
        <v>0</v>
      </c>
      <c r="J129" s="70">
        <v>0</v>
      </c>
      <c r="K129" s="70">
        <v>0</v>
      </c>
      <c r="L129" s="70">
        <v>0</v>
      </c>
      <c r="M129" s="69" t="s">
        <v>24</v>
      </c>
      <c r="N129" s="69" t="s">
        <v>60</v>
      </c>
      <c r="O129" s="69" t="s">
        <v>419</v>
      </c>
      <c r="P129" s="69" t="s">
        <v>420</v>
      </c>
      <c r="Q129" s="69" t="s">
        <v>57</v>
      </c>
      <c r="R129" s="69" t="s">
        <v>58</v>
      </c>
      <c r="S129" s="69" t="s">
        <v>16</v>
      </c>
    </row>
    <row r="130" spans="1:19" ht="15" x14ac:dyDescent="0.3">
      <c r="A130" s="68">
        <v>46025</v>
      </c>
      <c r="B130" s="69"/>
      <c r="C130" s="69" t="s">
        <v>421</v>
      </c>
      <c r="D130" s="70">
        <v>0</v>
      </c>
      <c r="E130" s="70">
        <v>0</v>
      </c>
      <c r="F130" s="70">
        <v>0</v>
      </c>
      <c r="G130" s="70">
        <v>1000</v>
      </c>
      <c r="H130" s="70">
        <v>0</v>
      </c>
      <c r="I130" s="70">
        <v>1000</v>
      </c>
      <c r="J130" s="70">
        <v>0</v>
      </c>
      <c r="K130" s="70">
        <v>1000</v>
      </c>
      <c r="L130" s="70">
        <v>0</v>
      </c>
      <c r="M130" s="69" t="s">
        <v>25</v>
      </c>
      <c r="N130" s="69" t="s">
        <v>151</v>
      </c>
      <c r="O130" s="69" t="s">
        <v>422</v>
      </c>
      <c r="P130" s="69" t="s">
        <v>423</v>
      </c>
      <c r="Q130" s="69" t="s">
        <v>57</v>
      </c>
      <c r="R130" s="69" t="s">
        <v>58</v>
      </c>
      <c r="S130" s="69" t="s">
        <v>16</v>
      </c>
    </row>
    <row r="131" spans="1:19" ht="15" x14ac:dyDescent="0.3">
      <c r="A131" s="68">
        <v>46028</v>
      </c>
      <c r="B131" s="69"/>
      <c r="C131" s="69" t="s">
        <v>424</v>
      </c>
      <c r="D131" s="70">
        <v>0</v>
      </c>
      <c r="E131" s="70">
        <v>0</v>
      </c>
      <c r="F131" s="70">
        <v>0</v>
      </c>
      <c r="G131" s="70">
        <v>7000</v>
      </c>
      <c r="H131" s="70">
        <v>0</v>
      </c>
      <c r="I131" s="70">
        <v>7000</v>
      </c>
      <c r="J131" s="70">
        <v>0</v>
      </c>
      <c r="K131" s="70">
        <v>7000</v>
      </c>
      <c r="L131" s="70">
        <v>0</v>
      </c>
      <c r="M131" s="69" t="s">
        <v>25</v>
      </c>
      <c r="N131" s="69" t="s">
        <v>60</v>
      </c>
      <c r="O131" s="69" t="s">
        <v>425</v>
      </c>
      <c r="P131" s="69" t="s">
        <v>426</v>
      </c>
      <c r="Q131" s="69" t="s">
        <v>57</v>
      </c>
      <c r="R131" s="69" t="s">
        <v>58</v>
      </c>
      <c r="S131" s="69" t="s">
        <v>16</v>
      </c>
    </row>
    <row r="132" spans="1:19" ht="15" x14ac:dyDescent="0.3">
      <c r="A132" s="68">
        <v>46050</v>
      </c>
      <c r="B132" s="69"/>
      <c r="C132" s="69" t="s">
        <v>427</v>
      </c>
      <c r="D132" s="70">
        <v>0</v>
      </c>
      <c r="E132" s="70">
        <v>0</v>
      </c>
      <c r="F132" s="70">
        <v>0</v>
      </c>
      <c r="G132" s="70">
        <v>5000</v>
      </c>
      <c r="H132" s="70">
        <v>0</v>
      </c>
      <c r="I132" s="70">
        <v>5000</v>
      </c>
      <c r="J132" s="70">
        <v>0</v>
      </c>
      <c r="K132" s="70">
        <v>5000</v>
      </c>
      <c r="L132" s="70">
        <v>0</v>
      </c>
      <c r="M132" s="69" t="s">
        <v>25</v>
      </c>
      <c r="N132" s="69" t="s">
        <v>60</v>
      </c>
      <c r="O132" s="69" t="s">
        <v>428</v>
      </c>
      <c r="P132" s="69" t="s">
        <v>429</v>
      </c>
      <c r="Q132" s="69" t="s">
        <v>57</v>
      </c>
      <c r="R132" s="69" t="s">
        <v>58</v>
      </c>
      <c r="S132" s="69" t="s">
        <v>16</v>
      </c>
    </row>
    <row r="133" spans="1:19" ht="15" x14ac:dyDescent="0.3">
      <c r="A133" s="68">
        <v>45974</v>
      </c>
      <c r="B133" s="69"/>
      <c r="C133" s="69" t="s">
        <v>430</v>
      </c>
      <c r="D133" s="70">
        <v>0</v>
      </c>
      <c r="E133" s="70">
        <v>0</v>
      </c>
      <c r="F133" s="70">
        <v>0</v>
      </c>
      <c r="G133" s="70">
        <v>9000</v>
      </c>
      <c r="H133" s="70">
        <v>0</v>
      </c>
      <c r="I133" s="70">
        <v>9000</v>
      </c>
      <c r="J133" s="70">
        <v>0</v>
      </c>
      <c r="K133" s="70">
        <v>9000</v>
      </c>
      <c r="L133" s="70">
        <v>0</v>
      </c>
      <c r="M133" s="69" t="s">
        <v>25</v>
      </c>
      <c r="N133" s="69" t="s">
        <v>151</v>
      </c>
      <c r="O133" s="69" t="s">
        <v>431</v>
      </c>
      <c r="P133" s="69" t="s">
        <v>432</v>
      </c>
      <c r="Q133" s="69" t="s">
        <v>57</v>
      </c>
      <c r="R133" s="69" t="s">
        <v>58</v>
      </c>
      <c r="S133" s="69" t="s">
        <v>16</v>
      </c>
    </row>
    <row r="134" spans="1:19" ht="15" x14ac:dyDescent="0.3">
      <c r="A134" s="68">
        <v>46058</v>
      </c>
      <c r="B134" s="69"/>
      <c r="C134" s="69" t="s">
        <v>433</v>
      </c>
      <c r="D134" s="70">
        <v>0</v>
      </c>
      <c r="E134" s="70">
        <v>0</v>
      </c>
      <c r="F134" s="70">
        <v>0</v>
      </c>
      <c r="G134" s="70">
        <v>15000</v>
      </c>
      <c r="H134" s="70">
        <v>0</v>
      </c>
      <c r="I134" s="70">
        <v>15000</v>
      </c>
      <c r="J134" s="70">
        <v>0</v>
      </c>
      <c r="K134" s="70">
        <v>15000</v>
      </c>
      <c r="L134" s="70">
        <v>0</v>
      </c>
      <c r="M134" s="69" t="s">
        <v>25</v>
      </c>
      <c r="N134" s="69" t="s">
        <v>151</v>
      </c>
      <c r="O134" s="69" t="s">
        <v>434</v>
      </c>
      <c r="P134" s="69" t="s">
        <v>435</v>
      </c>
      <c r="Q134" s="69" t="s">
        <v>57</v>
      </c>
      <c r="R134" s="69" t="s">
        <v>58</v>
      </c>
      <c r="S134" s="69" t="s">
        <v>16</v>
      </c>
    </row>
    <row r="135" spans="1:19" ht="15" x14ac:dyDescent="0.3">
      <c r="A135" s="68">
        <v>46068</v>
      </c>
      <c r="B135" s="69"/>
      <c r="C135" s="69" t="s">
        <v>436</v>
      </c>
      <c r="D135" s="70">
        <v>0</v>
      </c>
      <c r="E135" s="70">
        <v>0</v>
      </c>
      <c r="F135" s="70">
        <v>0</v>
      </c>
      <c r="G135" s="70">
        <v>150</v>
      </c>
      <c r="H135" s="70">
        <v>0</v>
      </c>
      <c r="I135" s="70">
        <v>150</v>
      </c>
      <c r="J135" s="70">
        <v>0</v>
      </c>
      <c r="K135" s="70">
        <v>150</v>
      </c>
      <c r="L135" s="70">
        <v>0</v>
      </c>
      <c r="M135" s="69" t="s">
        <v>24</v>
      </c>
      <c r="N135" s="69" t="s">
        <v>151</v>
      </c>
      <c r="O135" s="69" t="s">
        <v>437</v>
      </c>
      <c r="P135" s="69" t="s">
        <v>438</v>
      </c>
      <c r="Q135" s="69" t="s">
        <v>57</v>
      </c>
      <c r="R135" s="69" t="s">
        <v>58</v>
      </c>
      <c r="S135" s="69" t="s">
        <v>16</v>
      </c>
    </row>
    <row r="136" spans="1:19" ht="15" x14ac:dyDescent="0.3">
      <c r="A136" s="68">
        <v>46070</v>
      </c>
      <c r="B136" s="68">
        <v>46171</v>
      </c>
      <c r="C136" s="69" t="s">
        <v>439</v>
      </c>
      <c r="D136" s="70">
        <v>0</v>
      </c>
      <c r="E136" s="70">
        <v>0</v>
      </c>
      <c r="F136" s="70">
        <v>0</v>
      </c>
      <c r="G136" s="70">
        <v>0</v>
      </c>
      <c r="H136" s="70">
        <v>0</v>
      </c>
      <c r="I136" s="70">
        <v>0</v>
      </c>
      <c r="J136" s="70">
        <v>0</v>
      </c>
      <c r="K136" s="70">
        <v>0</v>
      </c>
      <c r="L136" s="70">
        <v>0</v>
      </c>
      <c r="M136" s="69" t="s">
        <v>24</v>
      </c>
      <c r="N136" s="69" t="s">
        <v>60</v>
      </c>
      <c r="O136" s="69" t="s">
        <v>440</v>
      </c>
      <c r="P136" s="69" t="s">
        <v>441</v>
      </c>
      <c r="Q136" s="69" t="s">
        <v>57</v>
      </c>
      <c r="R136" s="69" t="s">
        <v>58</v>
      </c>
      <c r="S136" s="69" t="s">
        <v>16</v>
      </c>
    </row>
    <row r="137" spans="1:19" ht="15" x14ac:dyDescent="0.3">
      <c r="A137" s="68">
        <v>46102</v>
      </c>
      <c r="B137" s="69"/>
      <c r="C137" s="69" t="s">
        <v>442</v>
      </c>
      <c r="D137" s="70">
        <v>0</v>
      </c>
      <c r="E137" s="70">
        <v>0</v>
      </c>
      <c r="F137" s="70">
        <v>0</v>
      </c>
      <c r="G137" s="70">
        <v>11000</v>
      </c>
      <c r="H137" s="70">
        <v>0</v>
      </c>
      <c r="I137" s="70">
        <v>11000</v>
      </c>
      <c r="J137" s="70">
        <v>0</v>
      </c>
      <c r="K137" s="70">
        <v>11000</v>
      </c>
      <c r="L137" s="70">
        <v>0</v>
      </c>
      <c r="M137" s="69" t="s">
        <v>25</v>
      </c>
      <c r="N137" s="69" t="s">
        <v>60</v>
      </c>
      <c r="O137" s="69" t="s">
        <v>443</v>
      </c>
      <c r="P137" s="69" t="s">
        <v>444</v>
      </c>
      <c r="Q137" s="69" t="s">
        <v>57</v>
      </c>
      <c r="R137" s="69" t="s">
        <v>58</v>
      </c>
      <c r="S137" s="69" t="s">
        <v>16</v>
      </c>
    </row>
    <row r="138" spans="1:19" ht="15" x14ac:dyDescent="0.3">
      <c r="A138" s="68">
        <v>46068</v>
      </c>
      <c r="B138" s="69"/>
      <c r="C138" s="69" t="s">
        <v>445</v>
      </c>
      <c r="D138" s="70">
        <v>0</v>
      </c>
      <c r="E138" s="70">
        <v>0</v>
      </c>
      <c r="F138" s="70">
        <v>0</v>
      </c>
      <c r="G138" s="70">
        <v>15000</v>
      </c>
      <c r="H138" s="70">
        <v>0</v>
      </c>
      <c r="I138" s="70">
        <v>15000</v>
      </c>
      <c r="J138" s="70">
        <v>0</v>
      </c>
      <c r="K138" s="70">
        <v>15000</v>
      </c>
      <c r="L138" s="70">
        <v>0</v>
      </c>
      <c r="M138" s="69" t="s">
        <v>25</v>
      </c>
      <c r="N138" s="69" t="s">
        <v>151</v>
      </c>
      <c r="O138" s="69" t="s">
        <v>212</v>
      </c>
      <c r="P138" s="69" t="s">
        <v>446</v>
      </c>
      <c r="Q138" s="69" t="s">
        <v>57</v>
      </c>
      <c r="R138" s="69" t="s">
        <v>58</v>
      </c>
      <c r="S138" s="69" t="s">
        <v>16</v>
      </c>
    </row>
    <row r="139" spans="1:19" ht="15" x14ac:dyDescent="0.3">
      <c r="A139" s="68">
        <v>46054</v>
      </c>
      <c r="B139" s="69"/>
      <c r="C139" s="69" t="s">
        <v>447</v>
      </c>
      <c r="D139" s="70">
        <v>0</v>
      </c>
      <c r="E139" s="70">
        <v>0</v>
      </c>
      <c r="F139" s="70">
        <v>0</v>
      </c>
      <c r="G139" s="70">
        <v>11000</v>
      </c>
      <c r="H139" s="70">
        <v>0</v>
      </c>
      <c r="I139" s="70">
        <v>11000</v>
      </c>
      <c r="J139" s="70">
        <v>0</v>
      </c>
      <c r="K139" s="70">
        <v>11000</v>
      </c>
      <c r="L139" s="70">
        <v>0</v>
      </c>
      <c r="M139" s="69" t="s">
        <v>25</v>
      </c>
      <c r="N139" s="69" t="s">
        <v>151</v>
      </c>
      <c r="O139" s="69" t="s">
        <v>448</v>
      </c>
      <c r="P139" s="69" t="s">
        <v>449</v>
      </c>
      <c r="Q139" s="69" t="s">
        <v>57</v>
      </c>
      <c r="R139" s="69" t="s">
        <v>58</v>
      </c>
      <c r="S139" s="69" t="s">
        <v>16</v>
      </c>
    </row>
    <row r="140" spans="1:19" ht="15" x14ac:dyDescent="0.3">
      <c r="A140" s="68">
        <v>46113</v>
      </c>
      <c r="B140" s="69"/>
      <c r="C140" s="69" t="s">
        <v>450</v>
      </c>
      <c r="D140" s="70">
        <v>0</v>
      </c>
      <c r="E140" s="70">
        <v>0</v>
      </c>
      <c r="F140" s="70">
        <v>0</v>
      </c>
      <c r="G140" s="70">
        <v>2500</v>
      </c>
      <c r="H140" s="70">
        <v>0</v>
      </c>
      <c r="I140" s="70">
        <v>2500</v>
      </c>
      <c r="J140" s="70">
        <v>0</v>
      </c>
      <c r="K140" s="70">
        <v>2500</v>
      </c>
      <c r="L140" s="70">
        <v>0</v>
      </c>
      <c r="M140" s="69" t="s">
        <v>25</v>
      </c>
      <c r="N140" s="69" t="s">
        <v>151</v>
      </c>
      <c r="O140" s="69" t="s">
        <v>451</v>
      </c>
      <c r="P140" s="69" t="s">
        <v>452</v>
      </c>
      <c r="Q140" s="69" t="s">
        <v>57</v>
      </c>
      <c r="R140" s="69" t="s">
        <v>58</v>
      </c>
      <c r="S140" s="69" t="s">
        <v>16</v>
      </c>
    </row>
    <row r="141" spans="1:19" ht="15" x14ac:dyDescent="0.3">
      <c r="A141" s="68">
        <v>46060</v>
      </c>
      <c r="B141" s="69"/>
      <c r="C141" s="69" t="s">
        <v>453</v>
      </c>
      <c r="D141" s="70">
        <v>0</v>
      </c>
      <c r="E141" s="70">
        <v>0</v>
      </c>
      <c r="F141" s="70">
        <v>0</v>
      </c>
      <c r="G141" s="70">
        <v>9000</v>
      </c>
      <c r="H141" s="70">
        <v>0</v>
      </c>
      <c r="I141" s="70">
        <v>9000</v>
      </c>
      <c r="J141" s="70">
        <v>0</v>
      </c>
      <c r="K141" s="70">
        <v>9000</v>
      </c>
      <c r="L141" s="70">
        <v>0</v>
      </c>
      <c r="M141" s="69" t="s">
        <v>25</v>
      </c>
      <c r="N141" s="69" t="s">
        <v>151</v>
      </c>
      <c r="O141" s="69" t="s">
        <v>454</v>
      </c>
      <c r="P141" s="69" t="s">
        <v>455</v>
      </c>
      <c r="Q141" s="69" t="s">
        <v>57</v>
      </c>
      <c r="R141" s="69" t="s">
        <v>58</v>
      </c>
      <c r="S141" s="69" t="s">
        <v>16</v>
      </c>
    </row>
    <row r="142" spans="1:19" ht="15" x14ac:dyDescent="0.3">
      <c r="A142" s="68">
        <v>46085</v>
      </c>
      <c r="B142" s="68">
        <v>46190</v>
      </c>
      <c r="C142" s="69" t="s">
        <v>456</v>
      </c>
      <c r="D142" s="70">
        <v>0</v>
      </c>
      <c r="E142" s="70">
        <v>0</v>
      </c>
      <c r="F142" s="70">
        <v>0</v>
      </c>
      <c r="G142" s="70">
        <v>0</v>
      </c>
      <c r="H142" s="70">
        <v>100</v>
      </c>
      <c r="I142" s="70">
        <v>100</v>
      </c>
      <c r="J142" s="70">
        <v>0</v>
      </c>
      <c r="K142" s="70">
        <v>100</v>
      </c>
      <c r="L142" s="70">
        <v>0</v>
      </c>
      <c r="M142" s="69" t="s">
        <v>24</v>
      </c>
      <c r="N142" s="69" t="s">
        <v>54</v>
      </c>
      <c r="O142" s="69" t="s">
        <v>457</v>
      </c>
      <c r="P142" s="69" t="s">
        <v>216</v>
      </c>
      <c r="Q142" s="69" t="s">
        <v>57</v>
      </c>
      <c r="R142" s="69" t="s">
        <v>58</v>
      </c>
      <c r="S142" s="69" t="s">
        <v>16</v>
      </c>
    </row>
    <row r="143" spans="1:19" ht="15" x14ac:dyDescent="0.3">
      <c r="A143" s="68">
        <v>46029</v>
      </c>
      <c r="B143" s="69"/>
      <c r="C143" s="69" t="s">
        <v>458</v>
      </c>
      <c r="D143" s="70">
        <v>0</v>
      </c>
      <c r="E143" s="70">
        <v>0</v>
      </c>
      <c r="F143" s="70">
        <v>0</v>
      </c>
      <c r="G143" s="70">
        <v>3000</v>
      </c>
      <c r="H143" s="70">
        <v>0</v>
      </c>
      <c r="I143" s="70">
        <v>3000</v>
      </c>
      <c r="J143" s="70">
        <v>0</v>
      </c>
      <c r="K143" s="70">
        <v>3000</v>
      </c>
      <c r="L143" s="70">
        <v>0</v>
      </c>
      <c r="M143" s="69" t="s">
        <v>25</v>
      </c>
      <c r="N143" s="69" t="s">
        <v>151</v>
      </c>
      <c r="O143" s="69" t="s">
        <v>459</v>
      </c>
      <c r="P143" s="69" t="s">
        <v>460</v>
      </c>
      <c r="Q143" s="69" t="s">
        <v>57</v>
      </c>
      <c r="R143" s="69" t="s">
        <v>58</v>
      </c>
      <c r="S143" s="69" t="s">
        <v>16</v>
      </c>
    </row>
    <row r="144" spans="1:19" ht="15" x14ac:dyDescent="0.3">
      <c r="A144" s="68">
        <v>46122</v>
      </c>
      <c r="B144" s="69"/>
      <c r="C144" s="69" t="s">
        <v>461</v>
      </c>
      <c r="D144" s="70">
        <v>0</v>
      </c>
      <c r="E144" s="70">
        <v>0</v>
      </c>
      <c r="F144" s="70">
        <v>0</v>
      </c>
      <c r="G144" s="70">
        <v>2500</v>
      </c>
      <c r="H144" s="70">
        <v>0</v>
      </c>
      <c r="I144" s="70">
        <v>2500</v>
      </c>
      <c r="J144" s="70">
        <v>0</v>
      </c>
      <c r="K144" s="70">
        <v>2500</v>
      </c>
      <c r="L144" s="70">
        <v>0</v>
      </c>
      <c r="M144" s="69" t="s">
        <v>24</v>
      </c>
      <c r="N144" s="69" t="s">
        <v>151</v>
      </c>
      <c r="O144" s="69" t="s">
        <v>462</v>
      </c>
      <c r="P144" s="69" t="s">
        <v>463</v>
      </c>
      <c r="Q144" s="69" t="s">
        <v>57</v>
      </c>
      <c r="R144" s="69" t="s">
        <v>58</v>
      </c>
      <c r="S144" s="69" t="s">
        <v>16</v>
      </c>
    </row>
    <row r="145" spans="1:19" ht="15" x14ac:dyDescent="0.3">
      <c r="A145" s="68">
        <v>46134</v>
      </c>
      <c r="B145" s="69"/>
      <c r="C145" s="69" t="s">
        <v>464</v>
      </c>
      <c r="D145" s="70">
        <v>0</v>
      </c>
      <c r="E145" s="70">
        <v>0</v>
      </c>
      <c r="F145" s="70">
        <v>0</v>
      </c>
      <c r="G145" s="70">
        <v>1460</v>
      </c>
      <c r="H145" s="70">
        <v>0</v>
      </c>
      <c r="I145" s="70">
        <v>1460</v>
      </c>
      <c r="J145" s="70">
        <v>0</v>
      </c>
      <c r="K145" s="70">
        <v>1460</v>
      </c>
      <c r="L145" s="70">
        <v>0</v>
      </c>
      <c r="M145" s="69" t="s">
        <v>24</v>
      </c>
      <c r="N145" s="69" t="s">
        <v>151</v>
      </c>
      <c r="O145" s="69" t="s">
        <v>465</v>
      </c>
      <c r="P145" s="69" t="s">
        <v>466</v>
      </c>
      <c r="Q145" s="69" t="s">
        <v>467</v>
      </c>
      <c r="R145" s="69" t="s">
        <v>58</v>
      </c>
      <c r="S145" s="69" t="s">
        <v>16</v>
      </c>
    </row>
    <row r="146" spans="1:19" ht="15" x14ac:dyDescent="0.3">
      <c r="A146" s="68">
        <v>46069</v>
      </c>
      <c r="B146" s="69"/>
      <c r="C146" s="69" t="s">
        <v>468</v>
      </c>
      <c r="D146" s="70">
        <v>0</v>
      </c>
      <c r="E146" s="70">
        <v>0</v>
      </c>
      <c r="F146" s="70">
        <v>0</v>
      </c>
      <c r="G146" s="70">
        <v>3000</v>
      </c>
      <c r="H146" s="70">
        <v>0</v>
      </c>
      <c r="I146" s="70">
        <v>3000</v>
      </c>
      <c r="J146" s="70">
        <v>0</v>
      </c>
      <c r="K146" s="70">
        <v>3000</v>
      </c>
      <c r="L146" s="70">
        <v>0</v>
      </c>
      <c r="M146" s="69" t="s">
        <v>25</v>
      </c>
      <c r="N146" s="69" t="s">
        <v>151</v>
      </c>
      <c r="O146" s="69" t="s">
        <v>212</v>
      </c>
      <c r="P146" s="69" t="s">
        <v>469</v>
      </c>
      <c r="Q146" s="69" t="s">
        <v>57</v>
      </c>
      <c r="R146" s="69" t="s">
        <v>58</v>
      </c>
      <c r="S146" s="69" t="s">
        <v>16</v>
      </c>
    </row>
    <row r="151" spans="1:19" x14ac:dyDescent="0.3">
      <c r="A151"/>
      <c r="B151"/>
      <c r="C151"/>
    </row>
    <row r="152" spans="1:19" x14ac:dyDescent="0.3">
      <c r="A152"/>
      <c r="B152"/>
      <c r="C152"/>
    </row>
    <row r="153" spans="1:19" x14ac:dyDescent="0.3">
      <c r="A153"/>
      <c r="B153"/>
      <c r="C153"/>
    </row>
    <row r="154" spans="1:19" x14ac:dyDescent="0.3">
      <c r="A154"/>
      <c r="B154"/>
      <c r="C154"/>
    </row>
    <row r="155" spans="1:19" x14ac:dyDescent="0.3">
      <c r="A155"/>
      <c r="B155"/>
      <c r="C155"/>
    </row>
    <row r="156" spans="1:19" x14ac:dyDescent="0.3">
      <c r="A156"/>
      <c r="B156"/>
      <c r="C156"/>
    </row>
    <row r="157" spans="1:19" x14ac:dyDescent="0.3">
      <c r="A157"/>
      <c r="B157"/>
      <c r="C157"/>
    </row>
    <row r="158" spans="1:19" x14ac:dyDescent="0.3">
      <c r="A158"/>
      <c r="B158"/>
      <c r="C158"/>
    </row>
  </sheetData>
  <sheetProtection algorithmName="SHA-512" hashValue="C4LsLW29tykn9+NQvaxQP8yQMh+cEK0eZQJw/HrTnl86aJhBTcypvvsIHtJzvwBdYnU4DLx7jfjMEhZWu17/hQ==" saltValue="DhqvfiF71TgQV34rHRFZUA==" spinCount="100000" sheet="1" objects="1" scenarios="1"/>
  <mergeCells count="1">
    <mergeCell ref="A2:E2"/>
  </mergeCells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Zusammenfassung </vt:lpstr>
      <vt:lpstr>2021</vt:lpstr>
      <vt:lpstr>2022</vt:lpstr>
      <vt:lpstr>2023</vt:lpstr>
      <vt:lpstr>2024</vt:lpstr>
      <vt:lpstr>2025</vt:lpstr>
      <vt:lpstr>2026</vt:lpstr>
      <vt:lpstr>VS-Daten</vt:lpstr>
      <vt:lpstr>'Zusammenfassung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Helf, Stefanie</dc:creator>
  <cp:lastModifiedBy>Katharina Czajkowski</cp:lastModifiedBy>
  <dcterms:created xsi:type="dcterms:W3CDTF">2026-07-01T07:41:26Z</dcterms:created>
  <dcterms:modified xsi:type="dcterms:W3CDTF">2026-08-20T06:11:31Z</dcterms:modified>
</cp:coreProperties>
</file>